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13\"/>
    </mc:Choice>
  </mc:AlternateContent>
  <xr:revisionPtr revIDLastSave="0" documentId="13_ncr:1_{904B781A-CAF7-46B3-BED6-7255F54627FD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13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13'!$A$1:$J$89</definedName>
    <definedName name="desconto">#REF!</definedName>
    <definedName name="SB1_">'ITEM 13'!$F$81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13'!$H$81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13'!$H$72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13'!$H$77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G35" i="3" s="1"/>
  <c r="F36" i="3"/>
  <c r="F37" i="3"/>
  <c r="F38" i="3"/>
  <c r="F39" i="3"/>
  <c r="F40" i="3"/>
  <c r="F41" i="3"/>
  <c r="F42" i="3"/>
  <c r="F43" i="3"/>
  <c r="F44" i="3"/>
  <c r="F45" i="3"/>
  <c r="F46" i="3"/>
  <c r="F47" i="3"/>
  <c r="G47" i="3" s="1"/>
  <c r="F48" i="3"/>
  <c r="F49" i="3"/>
  <c r="F50" i="3"/>
  <c r="F51" i="3"/>
  <c r="G51" i="3" s="1"/>
  <c r="F52" i="3"/>
  <c r="F53" i="3"/>
  <c r="F54" i="3"/>
  <c r="F55" i="3"/>
  <c r="G55" i="3" s="1"/>
  <c r="F56" i="3"/>
  <c r="F57" i="3"/>
  <c r="F58" i="3"/>
  <c r="F59" i="3"/>
  <c r="G59" i="3" s="1"/>
  <c r="F60" i="3"/>
  <c r="F61" i="3"/>
  <c r="F62" i="3"/>
  <c r="F63" i="3"/>
  <c r="G63" i="3" s="1"/>
  <c r="F64" i="3"/>
  <c r="F65" i="3"/>
  <c r="F66" i="3"/>
  <c r="F67" i="3"/>
  <c r="G67" i="3" s="1"/>
  <c r="F68" i="3"/>
  <c r="F69" i="3"/>
  <c r="F70" i="3"/>
  <c r="F71" i="3"/>
  <c r="G71" i="3" s="1"/>
  <c r="F11" i="3"/>
  <c r="C63" i="3"/>
  <c r="C64" i="3"/>
  <c r="C65" i="3"/>
  <c r="C66" i="3"/>
  <c r="C67" i="3"/>
  <c r="C68" i="3"/>
  <c r="C69" i="3"/>
  <c r="C70" i="3"/>
  <c r="C71" i="3"/>
  <c r="D63" i="3"/>
  <c r="D64" i="3"/>
  <c r="D65" i="3"/>
  <c r="D66" i="3"/>
  <c r="D67" i="3"/>
  <c r="D68" i="3"/>
  <c r="D69" i="3"/>
  <c r="D70" i="3"/>
  <c r="D71" i="3"/>
  <c r="G65" i="3"/>
  <c r="G69" i="3"/>
  <c r="D62" i="3"/>
  <c r="C62" i="3"/>
  <c r="G61" i="3"/>
  <c r="D61" i="3"/>
  <c r="C61" i="3"/>
  <c r="D35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D60" i="3"/>
  <c r="D59" i="3"/>
  <c r="D58" i="3"/>
  <c r="G57" i="3"/>
  <c r="D57" i="3"/>
  <c r="D56" i="3"/>
  <c r="D55" i="3"/>
  <c r="D54" i="3"/>
  <c r="G53" i="3"/>
  <c r="D53" i="3"/>
  <c r="D52" i="3"/>
  <c r="D51" i="3"/>
  <c r="D50" i="3"/>
  <c r="G49" i="3"/>
  <c r="D49" i="3"/>
  <c r="D48" i="3"/>
  <c r="D47" i="3"/>
  <c r="D46" i="3"/>
  <c r="G45" i="3"/>
  <c r="D45" i="3"/>
  <c r="D44" i="3"/>
  <c r="G43" i="3"/>
  <c r="D43" i="3"/>
  <c r="F75" i="3"/>
  <c r="G75" i="3"/>
  <c r="G76" i="3"/>
  <c r="B12" i="14"/>
  <c r="G36" i="3"/>
  <c r="G37" i="3"/>
  <c r="G40" i="3"/>
  <c r="D36" i="3"/>
  <c r="D37" i="3"/>
  <c r="D38" i="3"/>
  <c r="D39" i="3"/>
  <c r="D40" i="3"/>
  <c r="D41" i="3"/>
  <c r="D42" i="3"/>
  <c r="A8" i="13"/>
  <c r="A7" i="13"/>
  <c r="G25" i="3"/>
  <c r="G26" i="3"/>
  <c r="G29" i="3"/>
  <c r="G30" i="3"/>
  <c r="G34" i="3"/>
  <c r="D24" i="3"/>
  <c r="D25" i="3"/>
  <c r="D26" i="3"/>
  <c r="D27" i="3"/>
  <c r="D28" i="3"/>
  <c r="D29" i="3"/>
  <c r="D30" i="3"/>
  <c r="D31" i="3"/>
  <c r="D32" i="3"/>
  <c r="D33" i="3"/>
  <c r="D34" i="3"/>
  <c r="C24" i="3"/>
  <c r="C25" i="3"/>
  <c r="C26" i="3"/>
  <c r="C27" i="3"/>
  <c r="C28" i="3"/>
  <c r="C29" i="3"/>
  <c r="C30" i="3"/>
  <c r="C31" i="3"/>
  <c r="C32" i="3"/>
  <c r="C33" i="3"/>
  <c r="C34" i="3"/>
  <c r="G56" i="3" l="1"/>
  <c r="G58" i="3"/>
  <c r="G60" i="3"/>
  <c r="G62" i="3"/>
  <c r="G64" i="3"/>
  <c r="G66" i="3"/>
  <c r="G44" i="3"/>
  <c r="G46" i="3"/>
  <c r="G48" i="3"/>
  <c r="G50" i="3"/>
  <c r="G52" i="3"/>
  <c r="G54" i="3"/>
  <c r="G68" i="3"/>
  <c r="G70" i="3"/>
  <c r="F77" i="3"/>
  <c r="F80" i="3" s="1"/>
  <c r="G39" i="3"/>
  <c r="G42" i="3"/>
  <c r="G38" i="3"/>
  <c r="G41" i="3"/>
  <c r="G33" i="3"/>
  <c r="G32" i="3"/>
  <c r="G28" i="3"/>
  <c r="G24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G11" i="3"/>
  <c r="D11" i="3"/>
  <c r="C11" i="3"/>
  <c r="I7" i="3"/>
  <c r="H35" i="3" s="1"/>
  <c r="I35" i="3" s="1"/>
  <c r="H57" i="3" l="1"/>
  <c r="I57" i="3" s="1"/>
  <c r="H59" i="3"/>
  <c r="I59" i="3" s="1"/>
  <c r="H65" i="3"/>
  <c r="I65" i="3" s="1"/>
  <c r="H63" i="3"/>
  <c r="I63" i="3" s="1"/>
  <c r="H61" i="3"/>
  <c r="I61" i="3" s="1"/>
  <c r="H60" i="3"/>
  <c r="I60" i="3" s="1"/>
  <c r="H62" i="3"/>
  <c r="I62" i="3" s="1"/>
  <c r="H56" i="3"/>
  <c r="I56" i="3" s="1"/>
  <c r="H66" i="3"/>
  <c r="I66" i="3" s="1"/>
  <c r="H64" i="3"/>
  <c r="I64" i="3" s="1"/>
  <c r="H58" i="3"/>
  <c r="I58" i="3" s="1"/>
  <c r="H69" i="3"/>
  <c r="I69" i="3" s="1"/>
  <c r="H53" i="3"/>
  <c r="I53" i="3" s="1"/>
  <c r="H47" i="3"/>
  <c r="I47" i="3" s="1"/>
  <c r="H43" i="3"/>
  <c r="I43" i="3" s="1"/>
  <c r="H67" i="3"/>
  <c r="I67" i="3" s="1"/>
  <c r="H51" i="3"/>
  <c r="I51" i="3" s="1"/>
  <c r="H45" i="3"/>
  <c r="I45" i="3" s="1"/>
  <c r="H71" i="3"/>
  <c r="I71" i="3" s="1"/>
  <c r="H55" i="3"/>
  <c r="I55" i="3" s="1"/>
  <c r="H49" i="3"/>
  <c r="I49" i="3" s="1"/>
  <c r="H46" i="3"/>
  <c r="I46" i="3" s="1"/>
  <c r="H44" i="3"/>
  <c r="I44" i="3" s="1"/>
  <c r="H70" i="3"/>
  <c r="I70" i="3" s="1"/>
  <c r="H50" i="3"/>
  <c r="I50" i="3" s="1"/>
  <c r="H52" i="3"/>
  <c r="I52" i="3" s="1"/>
  <c r="H68" i="3"/>
  <c r="I68" i="3" s="1"/>
  <c r="H54" i="3"/>
  <c r="I54" i="3" s="1"/>
  <c r="H48" i="3"/>
  <c r="I48" i="3" s="1"/>
  <c r="H75" i="3"/>
  <c r="I75" i="3" s="1"/>
  <c r="H76" i="3"/>
  <c r="I76" i="3" s="1"/>
  <c r="H41" i="3"/>
  <c r="I41" i="3" s="1"/>
  <c r="H38" i="3"/>
  <c r="I38" i="3" s="1"/>
  <c r="H37" i="3"/>
  <c r="I37" i="3" s="1"/>
  <c r="H42" i="3"/>
  <c r="I42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72" i="3" l="1"/>
  <c r="F79" i="3" s="1"/>
  <c r="F81" i="3" s="1"/>
  <c r="H77" i="3"/>
  <c r="H80" i="3" s="1"/>
  <c r="H72" i="3"/>
  <c r="H79" i="3" s="1"/>
  <c r="H13" i="14" l="1"/>
  <c r="K13" i="14" s="1"/>
  <c r="H14" i="14"/>
  <c r="Q14" i="14" s="1"/>
  <c r="H81" i="3"/>
  <c r="N13" i="14" l="1"/>
  <c r="Q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<sst xmlns="http://schemas.openxmlformats.org/spreadsheetml/2006/main" count="3418" uniqueCount="1785">
  <si>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</si>
  <si>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</si>
  <si>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</si>
  <si>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</si>
  <si>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</si>
  <si>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</si>
  <si>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</si>
  <si>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</si>
  <si>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</si>
  <si>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</si>
  <si>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</si>
  <si>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</si>
  <si>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</si>
  <si>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</si>
  <si>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</si>
  <si>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</si>
  <si>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</si>
  <si>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</si>
  <si>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</si>
  <si>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</si>
  <si>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</si>
  <si>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</si>
  <si>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</si>
  <si>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</si>
  <si>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</si>
  <si>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</si>
  <si>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</si>
  <si>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</si>
  <si>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</si>
  <si>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</si>
  <si>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</si>
  <si>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</si>
  <si>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</si>
  <si>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</si>
  <si>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</si>
  <si>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</si>
  <si>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</si>
  <si>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</si>
  <si>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</si>
  <si>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</si>
  <si>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</si>
  <si>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</si>
  <si>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</si>
  <si>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</si>
  <si>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</si>
  <si>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</si>
  <si>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</si>
  <si>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</si>
  <si>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</si>
  <si>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</si>
  <si>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</si>
  <si>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</si>
  <si>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</si>
  <si>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</si>
  <si>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</si>
  <si>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</si>
  <si>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</si>
  <si>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</si>
  <si>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</si>
  <si>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</si>
  <si>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</si>
  <si>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</si>
  <si>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</si>
  <si>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</si>
  <si>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</si>
  <si>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</si>
  <si>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</si>
  <si>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</si>
  <si>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</si>
  <si>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</si>
  <si>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</si>
  <si>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</si>
  <si>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</si>
  <si>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</si>
  <si>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</si>
  <si>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</si>
  <si>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</si>
  <si>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</si>
  <si>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</si>
  <si>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</si>
  <si>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</si>
  <si>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</si>
  <si>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</si>
  <si>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</si>
  <si>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</si>
  <si>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</si>
  <si>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</si>
  <si>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</si>
  <si>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</si>
  <si>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</si>
  <si>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</si>
  <si>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</si>
  <si>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</si>
  <si>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</si>
  <si>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</si>
  <si>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</si>
  <si>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</si>
  <si>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</si>
  <si>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</si>
  <si>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</si>
  <si>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</si>
  <si>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</si>
  <si>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</si>
  <si>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</si>
  <si>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</si>
  <si>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</si>
  <si>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</si>
  <si>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</si>
  <si>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</si>
  <si>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</si>
  <si>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</si>
  <si>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</si>
  <si>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</si>
  <si>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</si>
  <si>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</si>
  <si>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</si>
  <si>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</si>
  <si>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</si>
  <si>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</si>
  <si>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</si>
  <si>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</si>
  <si>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</si>
  <si>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</si>
  <si>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</si>
  <si>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</si>
  <si>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</si>
  <si>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</si>
  <si>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</si>
  <si>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</si>
  <si>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</si>
  <si>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</si>
  <si>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</si>
  <si>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</si>
  <si>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</si>
  <si>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</si>
  <si>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</si>
  <si>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</si>
  <si>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</si>
  <si>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</si>
  <si>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</si>
  <si>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</si>
  <si>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</si>
  <si>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</si>
  <si>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</si>
  <si>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</si>
  <si>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</si>
  <si>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</si>
  <si>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</si>
  <si>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</si>
  <si>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</si>
  <si>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</si>
  <si>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</si>
  <si>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</si>
  <si>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</si>
  <si>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</si>
  <si>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</si>
  <si>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</si>
  <si>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</si>
  <si>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</si>
  <si>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</si>
  <si>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</si>
  <si>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</si>
  <si>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</si>
  <si>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</si>
  <si>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</si>
  <si>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</si>
  <si>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</si>
  <si>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</si>
  <si>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</si>
  <si>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</si>
  <si>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</si>
  <si>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</si>
  <si>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</si>
  <si>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</si>
  <si>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</si>
  <si>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</si>
  <si>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</si>
  <si>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</si>
  <si>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</si>
  <si>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</si>
  <si>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</si>
  <si>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</si>
  <si>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</si>
  <si>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</si>
  <si>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</si>
  <si>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</si>
  <si>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</si>
  <si>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</si>
  <si>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</si>
  <si>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</si>
  <si>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</si>
  <si>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</si>
  <si>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</si>
  <si>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</si>
  <si>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</si>
  <si>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</si>
  <si>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</si>
  <si>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</si>
  <si>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</si>
  <si>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</si>
  <si>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</si>
  <si>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</si>
  <si>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</si>
  <si>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</si>
  <si>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</si>
  <si>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</si>
  <si>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</si>
  <si>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</si>
  <si>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</si>
  <si>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</si>
  <si>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</si>
  <si>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</si>
  <si>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</si>
  <si>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</si>
  <si>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</si>
  <si>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</si>
  <si>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</si>
  <si>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</si>
  <si>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</si>
  <si>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</si>
  <si>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</si>
  <si>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</si>
  <si>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</si>
  <si>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</si>
  <si>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</si>
  <si>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</si>
  <si>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</si>
  <si>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</si>
  <si>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</si>
  <si>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</si>
  <si>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</si>
  <si>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</si>
  <si>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</si>
  <si>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</si>
  <si>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</si>
  <si>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</si>
  <si>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</si>
  <si>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</si>
  <si>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</si>
  <si>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</si>
  <si>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</si>
  <si>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</si>
  <si>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</si>
  <si>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</si>
  <si>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</si>
  <si>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</si>
  <si>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</si>
  <si>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</si>
  <si>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</si>
  <si>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</si>
  <si>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</si>
  <si>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</si>
  <si>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</si>
  <si>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</si>
  <si>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</si>
  <si>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</si>
  <si>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</si>
  <si>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</si>
  <si>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</si>
  <si>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</si>
  <si>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</si>
  <si>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</si>
  <si>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</si>
  <si>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</si>
  <si>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</si>
  <si>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</si>
  <si>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</si>
  <si>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</si>
  <si>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</si>
  <si>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</si>
  <si>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</si>
  <si>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</si>
  <si>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</si>
  <si>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</si>
  <si>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</si>
  <si>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</si>
  <si>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</si>
  <si>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</si>
  <si>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</si>
  <si>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</si>
  <si>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</si>
  <si>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</si>
  <si>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</si>
  <si>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</si>
  <si>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</si>
  <si>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</si>
  <si>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</si>
  <si>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</si>
  <si>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</si>
  <si>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</si>
  <si>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</si>
  <si>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</si>
  <si>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</si>
  <si>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</si>
  <si>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</si>
  <si>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</si>
  <si>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</si>
  <si>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</si>
  <si>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</si>
  <si>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</si>
  <si>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</si>
  <si>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</si>
  <si>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</si>
  <si>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</si>
  <si>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</si>
  <si>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</si>
  <si>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</si>
  <si>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</si>
  <si>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</si>
  <si>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</si>
  <si>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</si>
  <si>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</si>
  <si>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</si>
  <si>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</si>
  <si>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</si>
  <si>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</si>
  <si>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</si>
  <si>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</si>
  <si>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</si>
  <si>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</si>
  <si>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</si>
  <si>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</si>
  <si>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</si>
  <si>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</si>
  <si>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</si>
  <si>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</si>
  <si>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</si>
  <si>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</si>
  <si>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</si>
  <si>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</si>
  <si>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</si>
  <si>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</si>
  <si>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</si>
  <si>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</si>
  <si>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</si>
  <si>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</si>
  <si>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</si>
  <si>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</si>
  <si>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</si>
  <si>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</si>
  <si>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</si>
  <si>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</si>
  <si>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</si>
  <si>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</si>
  <si>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</si>
  <si>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</si>
  <si>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</si>
  <si>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</si>
  <si>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</si>
  <si>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</si>
  <si>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</si>
  <si>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</si>
  <si>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</si>
  <si>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</si>
  <si>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</si>
  <si>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</si>
  <si>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</si>
  <si>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</si>
  <si>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</si>
  <si>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</si>
  <si>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</si>
  <si>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</si>
  <si>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</si>
  <si>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</si>
  <si>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</si>
  <si>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</si>
  <si>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</si>
  <si>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</si>
  <si>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</si>
  <si>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</si>
  <si>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</si>
  <si>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</si>
  <si>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</si>
  <si>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</si>
  <si>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</si>
  <si>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</si>
  <si>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</si>
  <si>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</si>
  <si>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</si>
  <si>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</si>
  <si>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</si>
  <si>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</si>
  <si>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</si>
  <si>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</si>
  <si>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</si>
  <si>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</si>
  <si>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</si>
  <si>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</si>
  <si>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</si>
  <si>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</si>
  <si>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</si>
  <si>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</si>
  <si>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</si>
  <si>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</si>
  <si>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</si>
  <si>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</si>
  <si>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</si>
  <si>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</si>
  <si>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</si>
  <si>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</si>
  <si>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</si>
  <si>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</si>
  <si>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</si>
  <si>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</si>
  <si>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</si>
  <si>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</si>
  <si>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</si>
  <si>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</si>
  <si>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</si>
  <si>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</si>
  <si>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</si>
  <si>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</si>
  <si>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</si>
  <si>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</si>
  <si>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</si>
  <si>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</si>
  <si>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</si>
  <si>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</si>
  <si>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</si>
  <si>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</si>
  <si>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</si>
  <si>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</si>
  <si>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</si>
  <si>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</si>
  <si>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</si>
  <si>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</si>
  <si>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</si>
  <si>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</si>
  <si>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</si>
  <si>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</si>
  <si>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</si>
  <si>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</si>
  <si>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</si>
  <si>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</si>
  <si>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</si>
  <si>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</si>
  <si>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</si>
  <si>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</si>
  <si>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</si>
  <si>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</si>
  <si>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</si>
  <si>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</si>
  <si>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</si>
  <si>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</si>
  <si>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</si>
  <si>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</si>
  <si>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</si>
  <si>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</si>
  <si>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</si>
  <si>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</si>
  <si>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</si>
  <si>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</si>
  <si>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</si>
  <si>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</si>
  <si>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</si>
  <si>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</si>
  <si>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</si>
  <si>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</si>
  <si>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</si>
  <si>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</si>
  <si>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</si>
  <si>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</si>
  <si>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</si>
  <si>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</si>
  <si>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</si>
  <si>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</si>
  <si>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</si>
  <si>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</si>
  <si>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</si>
  <si>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</si>
  <si>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</si>
  <si>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</si>
  <si>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</si>
  <si>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</si>
  <si>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</si>
  <si>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</si>
  <si>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</si>
  <si>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</si>
  <si>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</si>
  <si>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</si>
  <si>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</si>
  <si>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</si>
  <si>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</si>
  <si>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</si>
  <si>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</si>
  <si>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</si>
  <si>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</si>
  <si>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</si>
  <si>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</si>
  <si>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</si>
  <si>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</si>
  <si>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</si>
  <si>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</si>
  <si>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</si>
  <si>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</si>
  <si>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</si>
  <si>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</si>
  <si>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</si>
  <si>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</si>
  <si>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</si>
  <si>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</si>
  <si>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</si>
  <si>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</si>
  <si>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</si>
  <si>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</si>
  <si>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</si>
  <si>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</si>
  <si>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</si>
  <si>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</si>
  <si>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</si>
  <si>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</si>
  <si>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</si>
  <si>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</si>
  <si>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</si>
  <si>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</si>
  <si>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</si>
  <si>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</si>
  <si>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</si>
  <si>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</si>
  <si>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</si>
  <si>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</si>
  <si>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</si>
  <si>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</si>
  <si>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</si>
  <si>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</si>
  <si>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</si>
  <si>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</si>
  <si>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</si>
  <si>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</si>
  <si>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</si>
  <si>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</si>
  <si>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</si>
  <si>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</si>
  <si>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</si>
  <si>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</si>
  <si>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</si>
  <si>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</si>
  <si>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</si>
  <si>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</si>
  <si>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</si>
  <si>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</si>
  <si>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</si>
  <si>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</si>
  <si>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</si>
  <si>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</si>
  <si>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</si>
  <si>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</si>
  <si>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</si>
  <si>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</si>
  <si>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</si>
  <si>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</si>
  <si>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</si>
  <si>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</si>
  <si>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</si>
  <si>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</si>
  <si>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</si>
  <si>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</si>
  <si>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</si>
  <si>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</si>
  <si>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</si>
  <si>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</si>
  <si>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</si>
  <si>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</si>
  <si>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</si>
  <si>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</si>
  <si>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</si>
  <si>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</si>
  <si>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</si>
  <si>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</si>
  <si>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</si>
  <si>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</si>
  <si>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</si>
  <si>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</si>
  <si>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</si>
  <si>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</si>
  <si>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</si>
  <si>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</si>
  <si>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</si>
  <si>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</si>
  <si>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</si>
  <si>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</si>
  <si>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</si>
  <si>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</si>
  <si>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</si>
  <si>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</si>
  <si>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</si>
  <si>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</si>
  <si>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</si>
  <si>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</si>
  <si>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</si>
  <si>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</si>
  <si>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</si>
  <si>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</si>
  <si>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</si>
  <si>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</si>
  <si>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</si>
  <si>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</si>
  <si>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</si>
  <si>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</si>
  <si>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</si>
  <si>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</si>
  <si>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</si>
  <si>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</si>
  <si>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</si>
  <si>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</si>
  <si>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</si>
  <si>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</si>
  <si>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</si>
  <si>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</si>
  <si>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</si>
  <si>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</si>
  <si>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</si>
  <si>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</si>
  <si>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</si>
  <si>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</si>
  <si>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</si>
  <si>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</si>
  <si>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</si>
  <si>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</si>
  <si>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</si>
  <si>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</si>
  <si>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</si>
  <si>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</si>
  <si>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</si>
  <si>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</si>
  <si>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</si>
  <si>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</si>
  <si>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</si>
  <si>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</si>
  <si>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</si>
  <si>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</si>
  <si>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</si>
  <si>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</si>
  <si>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</si>
  <si>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</si>
  <si>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</si>
  <si>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</si>
  <si>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</si>
  <si>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</si>
  <si>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</si>
  <si>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</si>
  <si>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</si>
  <si>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</si>
  <si>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</si>
  <si>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</si>
  <si>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</si>
  <si>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</si>
  <si>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</si>
  <si>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</si>
  <si>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</si>
  <si>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</si>
  <si>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</si>
  <si>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</si>
  <si>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</si>
  <si>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</si>
  <si>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</si>
  <si>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</si>
  <si>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</si>
  <si>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</si>
  <si>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</si>
  <si>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</si>
  <si>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</si>
  <si>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</si>
  <si>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</si>
  <si>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</si>
  <si>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</si>
  <si>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</si>
  <si>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</si>
  <si>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</si>
  <si>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</si>
  <si>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</si>
  <si>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</si>
  <si>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</si>
  <si>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</si>
  <si>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</si>
  <si>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</si>
  <si>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</si>
  <si>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</si>
  <si>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</si>
  <si>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</si>
  <si>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</si>
  <si>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</si>
  <si>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</si>
  <si>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</si>
  <si>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</si>
  <si>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</si>
  <si>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</si>
  <si>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</si>
  <si>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</si>
  <si>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</si>
  <si>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</si>
  <si>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</si>
  <si>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</si>
  <si>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</si>
  <si>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</si>
  <si>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</si>
  <si>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</si>
  <si>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</si>
  <si>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</si>
  <si>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</si>
  <si>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</si>
  <si>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</si>
  <si>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</si>
  <si>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</si>
  <si>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</si>
  <si>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</si>
  <si>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</si>
  <si>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</si>
  <si>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</si>
  <si>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</si>
  <si>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</si>
  <si>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</si>
  <si>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</si>
  <si>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</si>
  <si>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</si>
  <si>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</si>
  <si>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</si>
  <si>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</si>
  <si>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</si>
  <si>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</si>
  <si>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</si>
  <si>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</si>
  <si>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</si>
  <si>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</si>
  <si>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</si>
  <si>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</si>
  <si>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</si>
  <si>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</si>
  <si>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</si>
  <si>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</si>
  <si>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</si>
  <si>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</si>
  <si>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</si>
  <si>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</si>
  <si>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</si>
  <si>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</si>
  <si>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</si>
  <si>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</si>
  <si>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</si>
  <si>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</si>
  <si>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</si>
  <si>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</si>
  <si>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</si>
  <si>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</si>
  <si>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</si>
  <si>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</si>
  <si>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</si>
  <si>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</si>
  <si>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</si>
  <si>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</si>
  <si>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</si>
  <si>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</si>
  <si>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</si>
  <si>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</si>
  <si>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</si>
  <si>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</si>
  <si>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</si>
  <si>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</si>
  <si>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</si>
  <si>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</si>
  <si>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</si>
  <si>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</si>
  <si>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</si>
  <si>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</si>
  <si>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</si>
  <si>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</si>
  <si>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</si>
  <si>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</si>
  <si>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</si>
  <si>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</si>
  <si>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</si>
  <si>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</si>
  <si>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</si>
  <si>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</si>
  <si>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</si>
  <si>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</si>
  <si>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</si>
  <si>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</si>
  <si>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</si>
  <si>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</si>
  <si>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</si>
  <si>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</si>
  <si>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</si>
  <si>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</si>
  <si>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</si>
  <si>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</si>
  <si>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</si>
  <si>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</si>
  <si>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</si>
  <si>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</si>
  <si>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</si>
  <si>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</si>
  <si>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</si>
  <si>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</si>
  <si>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</si>
  <si>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</si>
  <si>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</si>
  <si>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</si>
  <si>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</si>
  <si>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</si>
  <si>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</si>
  <si>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</si>
  <si>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</si>
  <si>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</si>
  <si>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</si>
  <si>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</si>
  <si>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</si>
  <si>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</si>
  <si>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</si>
  <si>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</si>
  <si>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</si>
  <si>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</si>
  <si>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</si>
  <si>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</si>
  <si>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</si>
  <si>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</si>
  <si>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</si>
  <si>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</si>
  <si>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</si>
  <si>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</si>
  <si>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</si>
  <si>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</si>
  <si>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</si>
  <si>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</si>
  <si>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</si>
  <si>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</si>
  <si>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</si>
  <si>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</si>
  <si>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</si>
  <si>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</si>
  <si>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</si>
  <si>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</si>
  <si>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</si>
  <si>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</si>
  <si>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</si>
  <si>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</si>
  <si>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</si>
  <si>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</si>
  <si>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</si>
  <si>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</si>
  <si>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</si>
  <si>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</si>
  <si>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</si>
  <si>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</si>
  <si>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</si>
  <si>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</si>
  <si>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</si>
  <si>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</si>
  <si>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</si>
  <si>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</si>
  <si>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</si>
  <si>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</si>
  <si>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</si>
  <si>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</si>
  <si>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</si>
  <si>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</si>
  <si>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</si>
  <si>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</si>
  <si>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</si>
  <si>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</si>
  <si>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</si>
  <si>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</si>
  <si>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</si>
  <si>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</si>
  <si>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</si>
  <si>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</si>
  <si>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</si>
  <si>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</si>
  <si>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</si>
  <si>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</si>
  <si>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</si>
  <si>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</si>
  <si>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</si>
  <si>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</si>
  <si>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</si>
  <si>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</si>
  <si>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</si>
  <si>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</si>
  <si>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</si>
  <si>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</si>
  <si>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</si>
  <si>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</si>
  <si>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</si>
  <si>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</si>
  <si>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</si>
  <si>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</si>
  <si>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</si>
  <si>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</si>
  <si>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</si>
  <si>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</si>
  <si>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</si>
  <si>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</si>
  <si>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</si>
  <si>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</si>
  <si>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</si>
  <si>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</si>
  <si>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</si>
  <si>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</si>
  <si>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</si>
  <si>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</si>
  <si>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</si>
  <si>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</si>
  <si>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</si>
  <si>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</si>
  <si>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</si>
  <si>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</si>
  <si>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</si>
  <si>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</si>
  <si>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</si>
  <si>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</si>
  <si>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</si>
  <si>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</si>
  <si>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</si>
  <si>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</si>
  <si>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</si>
  <si>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</si>
  <si>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</si>
  <si>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</si>
  <si>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</si>
  <si>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</si>
  <si>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</si>
  <si>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</si>
  <si>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</si>
  <si>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</si>
  <si>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</si>
  <si>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</si>
  <si>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</si>
  <si>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</si>
  <si>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</si>
  <si>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</si>
  <si>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</si>
  <si>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</si>
  <si>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</si>
  <si>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</si>
  <si>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</si>
  <si>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</si>
  <si>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</si>
  <si>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</si>
  <si>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</si>
  <si>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</si>
  <si>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</si>
  <si>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</si>
  <si>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</si>
  <si>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</si>
  <si>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</si>
  <si>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</si>
  <si>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</si>
  <si>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</si>
  <si>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</si>
  <si>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</si>
  <si>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</si>
  <si>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</si>
  <si>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</si>
  <si>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</si>
  <si>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</si>
  <si>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</si>
  <si>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</si>
  <si>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</si>
  <si>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</si>
  <si>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</si>
  <si>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</si>
  <si>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</si>
  <si>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</si>
  <si>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</si>
  <si>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</si>
  <si>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</si>
  <si>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</si>
  <si>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</si>
  <si>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</si>
  <si>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</si>
  <si>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</si>
  <si>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</si>
  <si>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</si>
  <si>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</si>
  <si>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</si>
  <si>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</si>
  <si>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</si>
  <si>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</si>
  <si>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</si>
  <si>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</si>
  <si>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</si>
  <si>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</si>
  <si>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</si>
  <si>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</si>
  <si>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</si>
  <si>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</si>
  <si>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</si>
  <si>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</si>
  <si>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</si>
  <si>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</si>
  <si>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</si>
  <si>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</si>
  <si>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</si>
  <si>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</si>
  <si>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</si>
  <si>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</si>
  <si>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</si>
  <si>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</si>
  <si>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</si>
  <si>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</si>
  <si>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</si>
  <si>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</si>
  <si>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</si>
  <si>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</si>
  <si>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</si>
  <si>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</si>
  <si>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</si>
  <si>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</si>
  <si>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</si>
  <si>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</si>
  <si>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</si>
  <si>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</si>
  <si>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</si>
  <si>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</si>
  <si>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</si>
  <si>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</si>
  <si>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</si>
  <si>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</si>
  <si>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</si>
  <si>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</si>
  <si>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</si>
  <si>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</si>
  <si>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</si>
  <si>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</si>
  <si>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</si>
  <si>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</si>
  <si>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</si>
  <si>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</si>
  <si>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</si>
  <si>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</si>
  <si>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</si>
  <si>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</si>
  <si>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</si>
  <si>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</si>
  <si>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</si>
  <si>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</si>
  <si>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</si>
  <si>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</si>
  <si>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</si>
  <si>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</si>
  <si>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</si>
  <si>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</si>
  <si>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</si>
  <si>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</si>
  <si>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</si>
  <si>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</si>
  <si>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</si>
  <si>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</si>
  <si>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</si>
  <si>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</si>
  <si>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</si>
  <si>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</si>
  <si>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</si>
  <si>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</si>
  <si>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</si>
  <si>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</si>
  <si>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</si>
  <si>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</si>
  <si>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</si>
  <si>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</si>
  <si>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</si>
  <si>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</si>
  <si>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</si>
  <si>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</si>
  <si>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</si>
  <si>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</si>
  <si>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</si>
  <si>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</si>
  <si>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</si>
  <si>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</si>
  <si>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</si>
  <si>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</si>
  <si>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</si>
  <si>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</si>
  <si>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</si>
  <si>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</si>
  <si>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</si>
  <si>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</si>
  <si>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</si>
  <si>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</si>
  <si>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</si>
  <si>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</si>
  <si>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</si>
  <si>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</si>
  <si>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</si>
  <si>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</si>
  <si>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</si>
  <si>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</si>
  <si>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</si>
  <si>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</si>
  <si>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</si>
  <si>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</si>
  <si>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</si>
  <si>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</si>
  <si>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</si>
  <si>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</si>
  <si>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</si>
  <si>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</si>
  <si>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</si>
  <si>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</si>
  <si>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</si>
  <si>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</si>
  <si>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</si>
  <si>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</si>
  <si>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</si>
  <si>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</si>
  <si>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</si>
  <si>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</si>
  <si>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</si>
  <si>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</si>
  <si>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</si>
  <si>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</si>
  <si>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</si>
  <si>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</si>
  <si>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</si>
  <si>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</si>
  <si>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</si>
  <si>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</si>
  <si>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</si>
  <si>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</si>
  <si>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</si>
  <si>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</si>
  <si>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</si>
  <si>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</si>
  <si>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</si>
  <si>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</si>
  <si>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</si>
  <si>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</si>
  <si>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</si>
  <si>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</si>
  <si>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</si>
  <si>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</si>
  <si>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</si>
  <si>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</si>
  <si>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</si>
  <si>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</si>
  <si>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</si>
  <si>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</si>
  <si>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</si>
  <si>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</si>
  <si>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</si>
  <si>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</si>
  <si>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</si>
  <si>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</si>
  <si>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</si>
  <si>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</si>
  <si>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</si>
  <si>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</si>
  <si>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</si>
  <si>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</si>
  <si>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</si>
  <si>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</si>
  <si>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</si>
  <si>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</si>
  <si>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</si>
  <si>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</si>
  <si>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</si>
  <si>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</si>
  <si>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</si>
  <si>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</si>
  <si>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</si>
  <si>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</si>
  <si>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</si>
  <si>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</si>
  <si>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</si>
  <si>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</si>
  <si>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</si>
  <si>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</si>
  <si>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</si>
  <si>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</si>
  <si>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</si>
  <si>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</si>
  <si>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</si>
  <si>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</si>
  <si>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</si>
  <si>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</si>
  <si>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</si>
  <si>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</si>
  <si>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</si>
  <si>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</si>
  <si>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</si>
  <si>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</si>
  <si>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</si>
  <si>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</si>
  <si>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</si>
  <si>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</si>
  <si>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</si>
  <si>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</si>
  <si>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</si>
  <si>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</si>
  <si>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</si>
  <si>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</si>
  <si>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</si>
  <si>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</si>
  <si>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</si>
  <si>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</si>
  <si>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</si>
  <si>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</si>
  <si>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</si>
  <si>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</si>
  <si>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</si>
  <si>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</si>
  <si>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</si>
  <si>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</si>
  <si>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</si>
  <si>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</si>
  <si>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</si>
  <si>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</si>
  <si>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</si>
  <si>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</si>
  <si>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</si>
  <si>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</si>
  <si>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</si>
  <si>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</si>
  <si>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</si>
  <si>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</si>
  <si>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</si>
  <si>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</si>
  <si>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</si>
  <si>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</si>
  <si>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</si>
  <si>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</si>
  <si>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</si>
  <si>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</si>
  <si>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</si>
  <si>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</si>
  <si>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</si>
  <si>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</si>
  <si>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</si>
  <si>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</si>
  <si>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</si>
  <si>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</si>
  <si>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</si>
  <si>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</si>
  <si>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</si>
  <si>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</si>
  <si>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</si>
  <si>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</si>
  <si>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</si>
  <si>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</si>
  <si>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</si>
  <si>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</si>
  <si>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</si>
  <si>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</si>
  <si>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</si>
  <si>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</si>
  <si>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</si>
  <si>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</si>
  <si>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</si>
  <si>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</si>
  <si>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</si>
  <si>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</si>
  <si>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</si>
  <si>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</si>
  <si>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</si>
  <si>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</si>
  <si>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</si>
  <si>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</si>
  <si>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</si>
  <si>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</si>
  <si>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</si>
  <si>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</si>
  <si>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</si>
  <si>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</si>
  <si>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</si>
  <si>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</si>
  <si>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</si>
  <si>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</si>
  <si>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</si>
  <si>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</si>
  <si>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</si>
  <si>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</si>
  <si>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</si>
  <si>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</si>
  <si>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</si>
  <si>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</si>
  <si>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</si>
  <si>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</si>
  <si>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</si>
  <si>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</si>
  <si>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</si>
  <si>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</si>
  <si>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</si>
  <si>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</si>
  <si>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</si>
  <si>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</si>
  <si>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</si>
  <si>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</si>
  <si>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</si>
  <si>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</si>
  <si>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</si>
  <si>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</si>
  <si>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</si>
  <si>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</si>
  <si>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</si>
  <si>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</si>
  <si>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</si>
  <si>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</si>
  <si>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</si>
  <si>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</si>
  <si>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</si>
  <si>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</si>
  <si>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</si>
  <si>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</si>
  <si>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</si>
  <si>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</si>
  <si>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</si>
  <si>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</si>
  <si>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</si>
  <si>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</si>
  <si>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</si>
  <si>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</si>
  <si>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</si>
  <si>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</si>
  <si>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</si>
  <si>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</si>
  <si>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</si>
  <si>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</si>
  <si>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</si>
  <si>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</si>
  <si>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</si>
  <si>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</si>
  <si>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</si>
  <si>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</si>
  <si>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</si>
  <si>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</si>
  <si>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</si>
  <si>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</si>
  <si>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</si>
  <si>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</si>
  <si>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</si>
  <si>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</si>
  <si>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</si>
  <si>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</si>
  <si>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</si>
  <si>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</si>
  <si>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</si>
  <si>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</si>
  <si>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</si>
  <si>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</si>
  <si>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</si>
  <si>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</si>
  <si>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</si>
  <si>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</si>
  <si>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</si>
  <si>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</si>
  <si>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</si>
  <si>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</si>
  <si>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</si>
  <si>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</si>
  <si>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</si>
  <si>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</si>
  <si>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</si>
  <si>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</si>
  <si>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</si>
  <si>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</si>
  <si>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</si>
  <si>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</si>
  <si>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</si>
  <si>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</si>
  <si>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</si>
  <si>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</si>
  <si>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</si>
  <si>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</si>
  <si>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</si>
  <si>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</si>
  <si>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</si>
  <si>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</si>
  <si>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</si>
  <si>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</si>
  <si>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</si>
  <si>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</si>
  <si>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</si>
  <si>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</si>
  <si>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</si>
  <si>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</si>
  <si>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</si>
  <si>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</si>
  <si>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</si>
  <si>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</si>
  <si>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</si>
  <si>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</si>
  <si>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</si>
  <si>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</si>
  <si>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</si>
  <si>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</si>
  <si>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</si>
  <si>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</si>
  <si>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</si>
  <si>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</si>
  <si>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</si>
  <si>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</si>
  <si>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</si>
  <si>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</si>
  <si>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</si>
  <si>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</si>
  <si>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</si>
  <si>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</si>
  <si>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</si>
  <si>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</si>
  <si>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</si>
  <si>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</si>
  <si>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</si>
  <si>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</si>
  <si>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</si>
  <si>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</si>
  <si>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</si>
  <si>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</si>
  <si>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</si>
  <si>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</si>
  <si>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</si>
  <si>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</si>
  <si>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</si>
  <si>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</si>
  <si>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</si>
  <si>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</si>
  <si>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</si>
  <si>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</si>
  <si>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</si>
  <si>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</si>
  <si>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</si>
  <si>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</si>
  <si>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</si>
  <si>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</si>
  <si>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</si>
  <si>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</si>
  <si>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</si>
  <si>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</si>
  <si>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</si>
  <si>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</si>
  <si>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</si>
  <si>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</si>
  <si>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</si>
  <si>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</si>
  <si>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</si>
  <si>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</si>
  <si>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</si>
  <si>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</si>
  <si>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</si>
  <si>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</si>
  <si>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</si>
  <si>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</si>
  <si>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</si>
  <si>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</si>
  <si>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</si>
  <si>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</si>
  <si>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</si>
  <si>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</si>
  <si>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</si>
  <si>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</si>
  <si>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</si>
  <si>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</si>
  <si>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</si>
  <si>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</si>
  <si>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</si>
  <si>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</si>
  <si>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</si>
  <si>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</si>
  <si>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</si>
  <si>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</si>
  <si>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</si>
  <si>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</si>
  <si>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</si>
  <si>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</si>
  <si>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</si>
  <si>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</si>
  <si>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</si>
  <si>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</si>
  <si>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</si>
  <si>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</si>
  <si>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</si>
  <si>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</si>
  <si>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</si>
  <si>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</si>
  <si>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</si>
  <si>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</si>
  <si>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</si>
  <si>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</si>
  <si>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</si>
  <si>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</si>
  <si>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</si>
  <si>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</si>
  <si>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</si>
  <si>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</si>
  <si>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</si>
  <si>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</si>
  <si>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</si>
  <si>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</si>
  <si>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</si>
  <si>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</si>
  <si>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</si>
  <si>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</si>
  <si>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</si>
  <si>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</si>
  <si>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</si>
  <si>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</si>
  <si>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</si>
  <si>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</si>
  <si>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</si>
  <si>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</si>
  <si>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</si>
  <si>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</si>
  <si>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</si>
  <si>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</si>
  <si>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</si>
  <si>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</si>
  <si>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</si>
  <si>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</si>
  <si>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</si>
  <si>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</si>
  <si>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</si>
  <si>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</si>
  <si>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</si>
  <si>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</si>
  <si>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</si>
  <si>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</si>
  <si>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</si>
  <si>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</si>
  <si>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</si>
  <si>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</si>
  <si>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</si>
  <si>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</si>
  <si>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</si>
  <si>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</si>
  <si>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</si>
  <si>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</si>
  <si>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</si>
  <si>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</si>
  <si>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</si>
  <si>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</si>
  <si>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</si>
  <si>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</si>
  <si>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</si>
  <si>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</si>
  <si>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</si>
  <si>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</si>
  <si>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</si>
  <si>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</si>
  <si>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</si>
  <si>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</si>
  <si>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</si>
  <si>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</si>
  <si>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</si>
  <si>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</si>
  <si>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</si>
  <si>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</si>
  <si>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</si>
  <si>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</si>
  <si>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</si>
  <si>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</si>
  <si>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</si>
  <si>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</si>
  <si>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</si>
  <si>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</si>
  <si>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</si>
  <si>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</si>
  <si>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</si>
  <si>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</si>
  <si>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</si>
  <si>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</si>
  <si>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</si>
  <si>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</si>
  <si>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</si>
  <si>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</si>
  <si>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</si>
  <si>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</si>
  <si>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</si>
  <si>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</si>
  <si>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</si>
  <si>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</si>
  <si>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</si>
  <si>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</si>
  <si>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</si>
  <si>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</si>
  <si>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</si>
  <si>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</si>
  <si>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</si>
  <si>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</si>
  <si>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</si>
  <si>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</si>
  <si>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</si>
  <si>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</si>
  <si>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</si>
  <si>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</si>
  <si>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</si>
  <si>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</si>
  <si>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</si>
  <si>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</si>
  <si>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</si>
  <si>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</si>
  <si>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</si>
  <si>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</si>
  <si>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</si>
  <si>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</si>
  <si>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</si>
  <si>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</si>
  <si>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</si>
  <si>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</si>
  <si>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</si>
  <si>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</si>
  <si>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</si>
  <si>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</si>
  <si>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</si>
  <si>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</si>
  <si>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</si>
  <si>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</si>
  <si>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</si>
  <si>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</si>
  <si>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</si>
  <si>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</si>
  <si>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</si>
  <si>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</si>
  <si>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</si>
  <si>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</si>
  <si>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</si>
  <si>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</si>
  <si>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</si>
  <si>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</si>
  <si>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</si>
  <si>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</si>
  <si>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</si>
  <si>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</si>
  <si>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</si>
  <si>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</si>
  <si>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</si>
  <si>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</si>
  <si>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</si>
  <si>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</si>
  <si>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</si>
  <si>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</si>
  <si>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</si>
  <si>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</si>
  <si>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</si>
  <si>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</si>
  <si>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</si>
  <si>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</si>
  <si>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</si>
  <si>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</si>
  <si>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</si>
  <si>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</si>
  <si>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</si>
  <si>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</si>
  <si>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</si>
  <si>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</si>
  <si>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</si>
  <si>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</si>
  <si>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</si>
  <si>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</si>
  <si>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</si>
  <si>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</si>
  <si>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</si>
  <si>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</si>
  <si>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</si>
  <si>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</si>
  <si>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</si>
  <si>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</si>
  <si>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</si>
  <si>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</si>
  <si>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</si>
  <si>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</si>
  <si>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</si>
  <si>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</si>
  <si>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</si>
  <si>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</si>
  <si>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</si>
  <si>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</si>
  <si>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</si>
  <si>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</si>
  <si>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</si>
  <si>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</si>
  <si>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</si>
  <si>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</si>
  <si>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</si>
  <si>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</si>
  <si>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</si>
  <si>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</si>
  <si>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</si>
  <si>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</si>
  <si>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</si>
  <si>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</si>
  <si>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</si>
  <si>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</si>
  <si>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</si>
  <si>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</si>
  <si>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</si>
  <si>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</si>
  <si>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</si>
  <si>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</si>
  <si>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</si>
  <si>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</si>
  <si>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</si>
  <si>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</si>
  <si>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</si>
  <si>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</si>
  <si>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</si>
  <si>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</si>
  <si>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</si>
  <si>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</si>
  <si>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</si>
  <si>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</si>
  <si>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</si>
  <si>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</si>
  <si>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</si>
  <si>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</si>
  <si>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</si>
  <si>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</si>
  <si>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</si>
  <si>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</si>
  <si>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</si>
  <si>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</si>
  <si>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</si>
  <si>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</si>
  <si>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</si>
  <si>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</si>
  <si>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</si>
  <si>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</si>
  <si>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</si>
  <si>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</si>
  <si>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</si>
  <si>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</si>
  <si>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</si>
  <si>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</si>
  <si>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</si>
  <si>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</si>
  <si>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</si>
  <si>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</si>
  <si>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</si>
  <si>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</si>
  <si>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</si>
  <si>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</si>
  <si>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</si>
  <si>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</si>
  <si>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</si>
  <si>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</si>
  <si>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</si>
  <si>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</si>
  <si>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</si>
  <si>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</si>
  <si>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</si>
  <si>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</si>
  <si>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</si>
  <si>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</si>
  <si>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</si>
  <si>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</si>
  <si>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</si>
  <si>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</si>
  <si>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</si>
  <si>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</si>
  <si>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</si>
  <si>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</si>
  <si>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</si>
  <si>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</si>
  <si>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</si>
  <si>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</si>
  <si>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</si>
  <si>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</si>
  <si>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</si>
  <si>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</si>
  <si>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</si>
  <si>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</si>
  <si>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</si>
  <si>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</si>
  <si>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</si>
  <si>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</si>
  <si>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</si>
  <si>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</si>
  <si>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</si>
  <si>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</si>
  <si>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</si>
  <si>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</si>
  <si>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</si>
  <si>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</si>
  <si>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</si>
  <si>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</si>
  <si>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</si>
  <si>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</si>
  <si>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</si>
  <si>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</si>
  <si>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</si>
  <si>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</si>
  <si>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</si>
  <si>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</si>
  <si>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</si>
  <si>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JATOBÁ – BAIRRO PALMEIRAS</t>
  </si>
  <si>
    <t>RUA JATOBÁ – BAIRRO 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</si>
</sst>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44" fontId="24" fillId="0" borderId="30" xfId="43" applyFont="1" applyFill="1" applyBorder="1" applyAlignment="1">
      <alignment horizontal="center"/>
    </xf>
    <xf numFmtId="0" fontId="1" fillId="0" borderId="30" xfId="48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workbookViewId="0">
      <selection activeCell="L7" sqref="L7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89"/>
  <sheetViews>
    <sheetView showGridLines="0" tabSelected="1" zoomScaleNormal="100" workbookViewId="0">
      <selection activeCell="A77" sqref="A77:E77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76" t="s">
        <v>1777</v>
      </c>
      <c r="B1" s="76"/>
      <c r="C1" s="76"/>
      <c r="D1" s="76"/>
      <c r="E1" s="76"/>
      <c r="F1" s="76"/>
      <c r="G1" s="76"/>
      <c r="H1" s="76"/>
      <c r="I1" s="76"/>
    </row>
    <row r="2" spans="1:9" ht="15.75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</row>
    <row r="3" spans="1:9" ht="24" customHeight="1" thickBot="1" x14ac:dyDescent="0.3">
      <c r="A3" s="1"/>
      <c r="B3" s="2"/>
      <c r="C3" s="3"/>
      <c r="D3" s="3"/>
      <c r="E3" s="3"/>
      <c r="F3" s="3"/>
      <c r="G3" s="88" t="s">
        <v>1778</v>
      </c>
      <c r="H3" s="88"/>
      <c r="I3" s="88"/>
    </row>
    <row r="4" spans="1:9" ht="16.5" thickBot="1" x14ac:dyDescent="0.3">
      <c r="A4" s="78" t="s">
        <v>1696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81" t="s">
        <v>1779</v>
      </c>
      <c r="B5" s="82"/>
      <c r="C5" s="82"/>
      <c r="D5" s="82"/>
      <c r="E5" s="82"/>
      <c r="F5" s="82"/>
      <c r="G5" s="82"/>
      <c r="H5" s="82"/>
      <c r="I5" s="83"/>
    </row>
    <row r="6" spans="1:9" x14ac:dyDescent="0.25">
      <c r="A6" s="84" t="s">
        <v>1783</v>
      </c>
      <c r="B6" s="85"/>
      <c r="C6" s="85"/>
      <c r="D6" s="86"/>
      <c r="E6" s="86"/>
      <c r="F6" s="85"/>
      <c r="G6" s="85"/>
      <c r="H6" s="85"/>
      <c r="I6" s="87"/>
    </row>
    <row r="7" spans="1:9" ht="15.75" thickBot="1" x14ac:dyDescent="0.3">
      <c r="A7" s="89" t="s">
        <v>1697</v>
      </c>
      <c r="B7" s="90"/>
      <c r="C7" s="90"/>
      <c r="D7" s="90"/>
      <c r="E7" s="91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25">
      <c r="A9" s="93" t="s">
        <v>1700</v>
      </c>
      <c r="B9" s="93" t="s">
        <v>1701</v>
      </c>
      <c r="C9" s="93" t="s">
        <v>1702</v>
      </c>
      <c r="D9" s="95" t="s">
        <v>1703</v>
      </c>
      <c r="E9" s="93" t="s">
        <v>1704</v>
      </c>
      <c r="F9" s="97" t="s">
        <v>1705</v>
      </c>
      <c r="G9" s="98"/>
      <c r="H9" s="97" t="s">
        <v>1706</v>
      </c>
      <c r="I9" s="98"/>
    </row>
    <row r="10" spans="1:9" x14ac:dyDescent="0.25">
      <c r="A10" s="94"/>
      <c r="B10" s="94"/>
      <c r="C10" s="94"/>
      <c r="D10" s="96"/>
      <c r="E10" s="94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237222</v>
      </c>
      <c r="C11" s="12" t="str">
        <f>VLOOKUP(B11,'preço de mercado'!A2:D1620,2,0)</f>
        <v>AFASTADOR ARMACAO SECUNDARIA 500MM</v>
      </c>
      <c r="D11" s="12" t="str">
        <f>VLOOKUP(B11,'preço de mercado'!A2:D1620,3,0)</f>
        <v>PC</v>
      </c>
      <c r="E11" s="75">
        <v>1</v>
      </c>
      <c r="F11" s="12">
        <f>VLOOKUP(B11,Tabela1[],4,0)</f>
        <v>165.10360618754595</v>
      </c>
      <c r="G11" s="13">
        <f>ROUND(F11*E11,2)</f>
        <v>165.1</v>
      </c>
      <c r="H11" s="13">
        <f>ROUND(F11*(1+$I$7),2)</f>
        <v>207.77</v>
      </c>
      <c r="I11" s="14">
        <f>ROUND(H11*E11,2)</f>
        <v>207.77</v>
      </c>
    </row>
    <row r="12" spans="1:9" x14ac:dyDescent="0.25">
      <c r="A12" s="73">
        <v>2</v>
      </c>
      <c r="B12" s="11">
        <v>230102</v>
      </c>
      <c r="C12" s="12" t="str">
        <f>VLOOKUP(B12,'preço de mercado'!A3:D1621,2,0)</f>
        <v>ALCA CONECTOR ESTRIBO ABERTA</v>
      </c>
      <c r="D12" s="12" t="str">
        <f>VLOOKUP(B12,'preço de mercado'!A3:D1621,3,0)</f>
        <v>PC</v>
      </c>
      <c r="E12" s="75">
        <v>7</v>
      </c>
      <c r="F12" s="12">
        <f>VLOOKUP(B12,Tabela1[],4,0)</f>
        <v>16.395510654435057</v>
      </c>
      <c r="G12" s="13">
        <f t="shared" ref="G12:G42" si="0">ROUND(F12*E12,2)</f>
        <v>114.77</v>
      </c>
      <c r="H12" s="13">
        <f t="shared" ref="H12:H42" si="1">ROUND(F12*(1+$I$7),2)</f>
        <v>20.63</v>
      </c>
      <c r="I12" s="14">
        <f t="shared" ref="I12:I42" si="2">ROUND(H12*E12,2)</f>
        <v>144.41</v>
      </c>
    </row>
    <row r="13" spans="1:9" x14ac:dyDescent="0.25">
      <c r="A13" s="73">
        <v>3</v>
      </c>
      <c r="B13" s="11">
        <v>374893</v>
      </c>
      <c r="C13" s="12" t="str">
        <f>VLOOKUP(B13,'preço de mercado'!A4:D1622,2,0)</f>
        <v>ALCA CONECTOR ESTRIBO FECHADA 1/0AWG</v>
      </c>
      <c r="D13" s="12" t="str">
        <f>VLOOKUP(B13,'preço de mercado'!A4:D1622,3,0)</f>
        <v>PC</v>
      </c>
      <c r="E13" s="75">
        <v>3</v>
      </c>
      <c r="F13" s="12">
        <f>VLOOKUP(B13,Tabela1[],4,0)</f>
        <v>28.034243259100208</v>
      </c>
      <c r="G13" s="13">
        <f t="shared" si="0"/>
        <v>84.1</v>
      </c>
      <c r="H13" s="13">
        <f t="shared" si="1"/>
        <v>35.28</v>
      </c>
      <c r="I13" s="14">
        <f t="shared" si="2"/>
        <v>105.84</v>
      </c>
    </row>
    <row r="14" spans="1:9" x14ac:dyDescent="0.25">
      <c r="A14" s="74">
        <v>4</v>
      </c>
      <c r="B14" s="11">
        <v>229005</v>
      </c>
      <c r="C14" s="12" t="str">
        <f>VLOOKUP(B14,'preço de mercado'!A5:D1623,2,0)</f>
        <v>ALCA PREF CB CA/CAL  70MM2 MULTIPLEX</v>
      </c>
      <c r="D14" s="12" t="str">
        <f>VLOOKUP(B14,'preço de mercado'!A5:D1623,3,0)</f>
        <v>PC</v>
      </c>
      <c r="E14" s="75">
        <v>5</v>
      </c>
      <c r="F14" s="12">
        <f>VLOOKUP(B14,Tabela1[],4,0)</f>
        <v>8.4645328033928351</v>
      </c>
      <c r="G14" s="13">
        <f t="shared" si="0"/>
        <v>42.32</v>
      </c>
      <c r="H14" s="13">
        <f t="shared" si="1"/>
        <v>10.65</v>
      </c>
      <c r="I14" s="14">
        <f t="shared" si="2"/>
        <v>53.25</v>
      </c>
    </row>
    <row r="15" spans="1:9" x14ac:dyDescent="0.25">
      <c r="A15" s="74">
        <v>5</v>
      </c>
      <c r="B15" s="11">
        <v>237677</v>
      </c>
      <c r="C15" s="12" t="str">
        <f>VLOOKUP(B15,'preço de mercado'!A6:D1624,2,0)</f>
        <v>ALCA PREF ESTAI P/ CB ACO 9,5MM</v>
      </c>
      <c r="D15" s="12" t="str">
        <f>VLOOKUP(B15,'preço de mercado'!A6:D1624,3,0)</f>
        <v>PC</v>
      </c>
      <c r="E15" s="75">
        <v>2</v>
      </c>
      <c r="F15" s="12">
        <f>VLOOKUP(B15,Tabela1[],4,0)</f>
        <v>14.613979711840626</v>
      </c>
      <c r="G15" s="13">
        <f t="shared" si="0"/>
        <v>29.23</v>
      </c>
      <c r="H15" s="13">
        <f t="shared" si="1"/>
        <v>18.39</v>
      </c>
      <c r="I15" s="14">
        <f t="shared" si="2"/>
        <v>36.78</v>
      </c>
    </row>
    <row r="16" spans="1:9" x14ac:dyDescent="0.25">
      <c r="A16" s="74">
        <v>6</v>
      </c>
      <c r="B16" s="11">
        <v>75721</v>
      </c>
      <c r="C16" s="12" t="str">
        <f>VLOOKUP(B16,'preço de mercado'!A7:D1625,2,0)</f>
        <v>ARRUELA QUADRADA 38X18X3MM</v>
      </c>
      <c r="D16" s="12" t="str">
        <f>VLOOKUP(B16,'preço de mercado'!A7:D1625,3,0)</f>
        <v>PC</v>
      </c>
      <c r="E16" s="75">
        <v>13</v>
      </c>
      <c r="F16" s="12">
        <f>VLOOKUP(B16,Tabela1[],4,0)</f>
        <v>0.55164156090487504</v>
      </c>
      <c r="G16" s="13">
        <f t="shared" si="0"/>
        <v>7.17</v>
      </c>
      <c r="H16" s="13">
        <f t="shared" si="1"/>
        <v>0.69</v>
      </c>
      <c r="I16" s="14">
        <f t="shared" si="2"/>
        <v>8.9700000000000006</v>
      </c>
    </row>
    <row r="17" spans="1:9" x14ac:dyDescent="0.25">
      <c r="A17" s="74">
        <v>7</v>
      </c>
      <c r="B17" s="11">
        <v>327692</v>
      </c>
      <c r="C17" s="12" t="str">
        <f>VLOOKUP(B17,'preço de mercado'!A8:D1626,2,0)</f>
        <v>BRAÇADEIRA PLASTICA CABO MULTIPLEXADO</v>
      </c>
      <c r="D17" s="12" t="str">
        <f>VLOOKUP(B17,'preço de mercado'!A8:D1626,3,0)</f>
        <v>PC</v>
      </c>
      <c r="E17" s="75">
        <v>13</v>
      </c>
      <c r="F17" s="12">
        <f>VLOOKUP(B17,Tabela1[],4,0)</f>
        <v>0.87720051488152251</v>
      </c>
      <c r="G17" s="13">
        <f t="shared" si="0"/>
        <v>11.4</v>
      </c>
      <c r="H17" s="13">
        <f t="shared" si="1"/>
        <v>1.1000000000000001</v>
      </c>
      <c r="I17" s="14">
        <f t="shared" si="2"/>
        <v>14.3</v>
      </c>
    </row>
    <row r="18" spans="1:9" x14ac:dyDescent="0.25">
      <c r="A18" s="74">
        <v>8</v>
      </c>
      <c r="B18" s="11">
        <v>258921</v>
      </c>
      <c r="C18" s="12" t="str">
        <f>VLOOKUP(B18,'preço de mercado'!A9:D1627,2,0)</f>
        <v>BRACO IP TIPO MEDIO</v>
      </c>
      <c r="D18" s="12" t="str">
        <f>VLOOKUP(B18,'preço de mercado'!A9:D1627,3,0)</f>
        <v>PC</v>
      </c>
      <c r="E18" s="75">
        <v>2</v>
      </c>
      <c r="F18" s="12">
        <f>VLOOKUP(B18,Tabela1[],4,0)</f>
        <v>184.06741525668568</v>
      </c>
      <c r="G18" s="13">
        <f t="shared" si="0"/>
        <v>368.13</v>
      </c>
      <c r="H18" s="13">
        <f t="shared" si="1"/>
        <v>231.64</v>
      </c>
      <c r="I18" s="14">
        <f t="shared" si="2"/>
        <v>463.28</v>
      </c>
    </row>
    <row r="19" spans="1:9" x14ac:dyDescent="0.25">
      <c r="A19" s="74">
        <v>9</v>
      </c>
      <c r="B19" s="11">
        <v>231712</v>
      </c>
      <c r="C19" s="12" t="str">
        <f>VLOOKUP(B19,'preço de mercado'!A10:D1628,2,0)</f>
        <v>BRACO SUPORTE C/GPO 6,5-9,5MM IT2</v>
      </c>
      <c r="D19" s="12" t="str">
        <f>VLOOKUP(B19,'preço de mercado'!A10:D1628,3,0)</f>
        <v>PC</v>
      </c>
      <c r="E19" s="75">
        <v>2</v>
      </c>
      <c r="F19" s="12">
        <f>VLOOKUP(B19,Tabela1[],4,0)</f>
        <v>51.375011598370421</v>
      </c>
      <c r="G19" s="13">
        <f t="shared" si="0"/>
        <v>102.75</v>
      </c>
      <c r="H19" s="13">
        <f t="shared" si="1"/>
        <v>64.650000000000006</v>
      </c>
      <c r="I19" s="14">
        <f t="shared" si="2"/>
        <v>129.30000000000001</v>
      </c>
    </row>
    <row r="20" spans="1:9" x14ac:dyDescent="0.25">
      <c r="A20" s="74">
        <v>10</v>
      </c>
      <c r="B20" s="11">
        <v>211771</v>
      </c>
      <c r="C20" s="12" t="str">
        <f>VLOOKUP(B20,'preço de mercado'!A11:D1629,2,0)</f>
        <v>BRACO SUPORTE L</v>
      </c>
      <c r="D20" s="12" t="str">
        <f>VLOOKUP(B20,'preço de mercado'!A11:D1629,3,0)</f>
        <v>PC</v>
      </c>
      <c r="E20" s="75">
        <v>1</v>
      </c>
      <c r="F20" s="12">
        <f>VLOOKUP(B20,Tabela1[],4,0)</f>
        <v>94.999911431241188</v>
      </c>
      <c r="G20" s="13">
        <f t="shared" si="0"/>
        <v>95</v>
      </c>
      <c r="H20" s="13">
        <f t="shared" si="1"/>
        <v>119.55</v>
      </c>
      <c r="I20" s="14">
        <f t="shared" si="2"/>
        <v>119.55</v>
      </c>
    </row>
    <row r="21" spans="1:9" x14ac:dyDescent="0.25">
      <c r="A21" s="74">
        <v>11</v>
      </c>
      <c r="B21" s="11">
        <v>357255</v>
      </c>
      <c r="C21" s="12" t="str">
        <f>VLOOKUP(B21,'preço de mercado'!A12:D1630,2,0)</f>
        <v>BRACO SUPORTE TIPO J</v>
      </c>
      <c r="D21" s="12" t="str">
        <f>VLOOKUP(B21,'preço de mercado'!A12:D1630,3,0)</f>
        <v>PC</v>
      </c>
      <c r="E21" s="75">
        <v>1</v>
      </c>
      <c r="F21" s="12">
        <f>VLOOKUP(B21,Tabela1[],4,0)</f>
        <v>455.65592930742685</v>
      </c>
      <c r="G21" s="13">
        <f t="shared" si="0"/>
        <v>455.66</v>
      </c>
      <c r="H21" s="13">
        <f t="shared" si="1"/>
        <v>573.41</v>
      </c>
      <c r="I21" s="14">
        <f t="shared" si="2"/>
        <v>573.41</v>
      </c>
    </row>
    <row r="22" spans="1:9" x14ac:dyDescent="0.25">
      <c r="A22" s="74">
        <v>12</v>
      </c>
      <c r="B22" s="11">
        <v>2931</v>
      </c>
      <c r="C22" s="12" t="str">
        <f>VLOOKUP(B22,'preço de mercado'!A13:D1631,2,0)</f>
        <v>CABO ACO 6,4MM SM 7 FIOS ZINC</v>
      </c>
      <c r="D22" s="12" t="str">
        <f>VLOOKUP(B22,'preço de mercado'!A13:D1631,3,0)</f>
        <v>KG</v>
      </c>
      <c r="E22" s="75">
        <v>9</v>
      </c>
      <c r="F22" s="12">
        <f>VLOOKUP(B22,Tabela1[],4,0)</f>
        <v>21.930012872038066</v>
      </c>
      <c r="G22" s="13">
        <f t="shared" si="0"/>
        <v>197.37</v>
      </c>
      <c r="H22" s="13">
        <f t="shared" si="1"/>
        <v>27.6</v>
      </c>
      <c r="I22" s="14">
        <f t="shared" si="2"/>
        <v>248.4</v>
      </c>
    </row>
    <row r="23" spans="1:9" x14ac:dyDescent="0.25">
      <c r="A23" s="74">
        <v>13</v>
      </c>
      <c r="B23" s="11">
        <v>225623</v>
      </c>
      <c r="C23" s="12" t="str">
        <f>VLOOKUP(B23,'preço de mercado'!A14:D1632,2,0)</f>
        <v>CABO AL 1X 16MM2 XLPE 1KV</v>
      </c>
      <c r="D23" s="12" t="str">
        <f>VLOOKUP(B23,'preço de mercado'!A14:D1632,3,0)</f>
        <v>M1</v>
      </c>
      <c r="E23" s="75">
        <v>3.7</v>
      </c>
      <c r="F23" s="12">
        <f>VLOOKUP(B23,Tabela1[],4,0)</f>
        <v>2.6677747617530847</v>
      </c>
      <c r="G23" s="13">
        <f t="shared" si="0"/>
        <v>9.8699999999999992</v>
      </c>
      <c r="H23" s="13">
        <f t="shared" si="1"/>
        <v>3.36</v>
      </c>
      <c r="I23" s="14">
        <f t="shared" si="2"/>
        <v>12.43</v>
      </c>
    </row>
    <row r="24" spans="1:9" x14ac:dyDescent="0.25">
      <c r="A24" s="74">
        <v>14</v>
      </c>
      <c r="B24" s="11">
        <v>231548</v>
      </c>
      <c r="C24" s="12" t="str">
        <f>VLOOKUP(B24,'preço de mercado'!A15:D1633,2,0)</f>
        <v>CABO AL 1X 50MM2 15KV PROTEGIDO XLPE</v>
      </c>
      <c r="D24" s="12" t="str">
        <f>VLOOKUP(B24,'preço de mercado'!A15:D1633,3,0)</f>
        <v>ML</v>
      </c>
      <c r="E24" s="75">
        <v>9</v>
      </c>
      <c r="F24" s="12">
        <f>VLOOKUP(B24,Tabela1[],4,0)</f>
        <v>7.9400211553193483</v>
      </c>
      <c r="G24" s="13">
        <f t="shared" si="0"/>
        <v>71.459999999999994</v>
      </c>
      <c r="H24" s="13">
        <f t="shared" si="1"/>
        <v>9.99</v>
      </c>
      <c r="I24" s="14">
        <f t="shared" si="2"/>
        <v>89.91</v>
      </c>
    </row>
    <row r="25" spans="1:9" x14ac:dyDescent="0.25">
      <c r="A25" s="74">
        <v>15</v>
      </c>
      <c r="B25" s="11">
        <v>225656</v>
      </c>
      <c r="C25" s="12" t="str">
        <f>VLOOKUP(B25,'preço de mercado'!A16:D1634,2,0)</f>
        <v>CABO AL 1X 70MM2 XLPE 1KV</v>
      </c>
      <c r="D25" s="12" t="str">
        <f>VLOOKUP(B25,'preço de mercado'!A16:D1634,3,0)</f>
        <v>ML</v>
      </c>
      <c r="E25" s="75">
        <v>6</v>
      </c>
      <c r="F25" s="12">
        <f>VLOOKUP(B25,Tabela1[],4,0)</f>
        <v>7.8767180253794464</v>
      </c>
      <c r="G25" s="13">
        <f t="shared" si="0"/>
        <v>47.26</v>
      </c>
      <c r="H25" s="13">
        <f t="shared" si="1"/>
        <v>9.91</v>
      </c>
      <c r="I25" s="14">
        <f t="shared" si="2"/>
        <v>59.46</v>
      </c>
    </row>
    <row r="26" spans="1:9" x14ac:dyDescent="0.25">
      <c r="A26" s="74">
        <v>16</v>
      </c>
      <c r="B26" s="11">
        <v>225615</v>
      </c>
      <c r="C26" s="12" t="str">
        <f>VLOOKUP(B26,'preço de mercado'!A17:D1635,2,0)</f>
        <v>CABO CU XLPE 1X 1,5MM2 1KV</v>
      </c>
      <c r="D26" s="12" t="str">
        <f>VLOOKUP(B26,'preço de mercado'!A17:D1635,3,0)</f>
        <v>M1</v>
      </c>
      <c r="E26" s="75">
        <v>24</v>
      </c>
      <c r="F26" s="12">
        <f>VLOOKUP(B26,Tabela1[],4,0)</f>
        <v>1.90813720247424</v>
      </c>
      <c r="G26" s="13">
        <f t="shared" si="0"/>
        <v>45.8</v>
      </c>
      <c r="H26" s="13">
        <f t="shared" si="1"/>
        <v>2.4</v>
      </c>
      <c r="I26" s="14">
        <f t="shared" si="2"/>
        <v>57.6</v>
      </c>
    </row>
    <row r="27" spans="1:9" x14ac:dyDescent="0.25">
      <c r="A27" s="74">
        <v>17</v>
      </c>
      <c r="B27" s="11">
        <v>226373</v>
      </c>
      <c r="C27" s="12" t="str">
        <f>VLOOKUP(B27,'preço de mercado'!A18:D1636,2,0)</f>
        <v>CABO QUADRUPLEX CA 3X1X 70+70MM2 1KV</v>
      </c>
      <c r="D27" s="12" t="str">
        <f>VLOOKUP(B27,'preço de mercado'!A18:D1636,3,0)</f>
        <v>M1</v>
      </c>
      <c r="E27" s="75">
        <v>62</v>
      </c>
      <c r="F27" s="12">
        <f>VLOOKUP(B27,Tabela1[],4,0)</f>
        <v>24.80578363216512</v>
      </c>
      <c r="G27" s="13">
        <f t="shared" si="0"/>
        <v>1537.96</v>
      </c>
      <c r="H27" s="13">
        <f t="shared" si="1"/>
        <v>31.22</v>
      </c>
      <c r="I27" s="14">
        <f t="shared" si="2"/>
        <v>1935.64</v>
      </c>
    </row>
    <row r="28" spans="1:9" x14ac:dyDescent="0.25">
      <c r="A28" s="74">
        <v>18</v>
      </c>
      <c r="B28" s="11">
        <v>231878</v>
      </c>
      <c r="C28" s="12" t="str">
        <f>VLOOKUP(B28,'preço de mercado'!A19:D1637,2,0)</f>
        <v>CARTUCHO DE APLICACAO VERMELHO</v>
      </c>
      <c r="D28" s="12" t="str">
        <f>VLOOKUP(B28,'preço de mercado'!A19:D1637,3,0)</f>
        <v>PC</v>
      </c>
      <c r="E28" s="75">
        <v>3</v>
      </c>
      <c r="F28" s="12">
        <f>VLOOKUP(B28,Tabela1[],4,0)</f>
        <v>11.277000433579989</v>
      </c>
      <c r="G28" s="13">
        <f t="shared" si="0"/>
        <v>33.83</v>
      </c>
      <c r="H28" s="13">
        <f t="shared" si="1"/>
        <v>14.19</v>
      </c>
      <c r="I28" s="14">
        <f t="shared" si="2"/>
        <v>42.57</v>
      </c>
    </row>
    <row r="29" spans="1:9" x14ac:dyDescent="0.25">
      <c r="A29" s="74">
        <v>19</v>
      </c>
      <c r="B29" s="11">
        <v>270439</v>
      </c>
      <c r="C29" s="12" t="str">
        <f>VLOOKUP(B29,'preço de mercado'!A20:D1638,2,0)</f>
        <v>CHAVE FUSIVEL 100A 15KV 7.1KA</v>
      </c>
      <c r="D29" s="12" t="str">
        <f>VLOOKUP(B29,'preço de mercado'!A20:D1638,3,0)</f>
        <v>PC</v>
      </c>
      <c r="E29" s="75">
        <v>3</v>
      </c>
      <c r="F29" s="12">
        <f>VLOOKUP(B29,Tabela1[],4,0)</f>
        <v>263.21441429011958</v>
      </c>
      <c r="G29" s="13">
        <f t="shared" si="0"/>
        <v>789.64</v>
      </c>
      <c r="H29" s="13">
        <f t="shared" si="1"/>
        <v>331.24</v>
      </c>
      <c r="I29" s="14">
        <f t="shared" si="2"/>
        <v>993.72</v>
      </c>
    </row>
    <row r="30" spans="1:9" x14ac:dyDescent="0.25">
      <c r="A30" s="74">
        <v>20</v>
      </c>
      <c r="B30" s="11">
        <v>236851</v>
      </c>
      <c r="C30" s="12" t="str">
        <f>VLOOKUP(B30,'preço de mercado'!A21:D1639,2,0)</f>
        <v>CINTA ACO D 190MM</v>
      </c>
      <c r="D30" s="12" t="str">
        <f>VLOOKUP(B30,'preço de mercado'!A21:D1639,3,0)</f>
        <v>PC</v>
      </c>
      <c r="E30" s="75">
        <v>1</v>
      </c>
      <c r="F30" s="12">
        <f>VLOOKUP(B30,Tabela1[],4,0)</f>
        <v>20.284131493600569</v>
      </c>
      <c r="G30" s="13">
        <f t="shared" si="0"/>
        <v>20.28</v>
      </c>
      <c r="H30" s="13">
        <f t="shared" si="1"/>
        <v>25.53</v>
      </c>
      <c r="I30" s="14">
        <f t="shared" si="2"/>
        <v>25.53</v>
      </c>
    </row>
    <row r="31" spans="1:9" x14ac:dyDescent="0.25">
      <c r="A31" s="74">
        <v>21</v>
      </c>
      <c r="B31" s="11">
        <v>236869</v>
      </c>
      <c r="C31" s="12" t="str">
        <f>VLOOKUP(B31,'preço de mercado'!A22:D1640,2,0)</f>
        <v>CINTA ACO D 200MM</v>
      </c>
      <c r="D31" s="12" t="str">
        <f>VLOOKUP(B31,'preço de mercado'!A22:D1640,3,0)</f>
        <v>PC</v>
      </c>
      <c r="E31" s="75">
        <v>2</v>
      </c>
      <c r="F31" s="12">
        <f>VLOOKUP(B31,Tabela1[],4,0)</f>
        <v>20.510214100528795</v>
      </c>
      <c r="G31" s="13">
        <f t="shared" si="0"/>
        <v>41.02</v>
      </c>
      <c r="H31" s="13">
        <f t="shared" si="1"/>
        <v>25.81</v>
      </c>
      <c r="I31" s="14">
        <f t="shared" si="2"/>
        <v>51.62</v>
      </c>
    </row>
    <row r="32" spans="1:9" x14ac:dyDescent="0.25">
      <c r="A32" s="74">
        <v>22</v>
      </c>
      <c r="B32" s="11">
        <v>236927</v>
      </c>
      <c r="C32" s="12" t="str">
        <f>VLOOKUP(B32,'preço de mercado'!A23:D1641,2,0)</f>
        <v>CINTA ACO D 260MM</v>
      </c>
      <c r="D32" s="12" t="str">
        <f>VLOOKUP(B32,'preço de mercado'!A23:D1641,3,0)</f>
        <v>PC</v>
      </c>
      <c r="E32" s="75">
        <v>2</v>
      </c>
      <c r="F32" s="12">
        <f>VLOOKUP(B32,Tabela1[],4,0)</f>
        <v>26.985219962953234</v>
      </c>
      <c r="G32" s="13">
        <f t="shared" si="0"/>
        <v>53.97</v>
      </c>
      <c r="H32" s="13">
        <f t="shared" si="1"/>
        <v>33.96</v>
      </c>
      <c r="I32" s="14">
        <f t="shared" si="2"/>
        <v>67.92</v>
      </c>
    </row>
    <row r="33" spans="1:9" x14ac:dyDescent="0.25">
      <c r="A33" s="74">
        <v>23</v>
      </c>
      <c r="B33" s="11">
        <v>375056</v>
      </c>
      <c r="C33" s="12" t="str">
        <f>VLOOKUP(B33,'preço de mercado'!A24:D1642,2,0)</f>
        <v>COB PROT BUCHA BT TFO IT2</v>
      </c>
      <c r="D33" s="12" t="str">
        <f>VLOOKUP(B33,'preço de mercado'!A24:D1642,3,0)</f>
        <v>PÇ</v>
      </c>
      <c r="E33" s="75">
        <v>3</v>
      </c>
      <c r="F33" s="12">
        <f>VLOOKUP(B33,Tabela1[],4,0)</f>
        <v>34.138473646162353</v>
      </c>
      <c r="G33" s="13">
        <f t="shared" si="0"/>
        <v>102.42</v>
      </c>
      <c r="H33" s="13">
        <f t="shared" si="1"/>
        <v>42.96</v>
      </c>
      <c r="I33" s="14">
        <f t="shared" si="2"/>
        <v>128.88</v>
      </c>
    </row>
    <row r="34" spans="1:9" x14ac:dyDescent="0.25">
      <c r="A34" s="74">
        <v>24</v>
      </c>
      <c r="B34" s="11">
        <v>39586</v>
      </c>
      <c r="C34" s="12" t="str">
        <f>VLOOKUP(B34,'preço de mercado'!A25:D1643,2,0)</f>
        <v>COBERT. FLEX. PROTET. PARA BUCHA TRAFO</v>
      </c>
      <c r="D34" s="12" t="str">
        <f>VLOOKUP(B34,'preço de mercado'!A25:D1643,3,0)</f>
        <v>PC</v>
      </c>
      <c r="E34" s="75">
        <v>3</v>
      </c>
      <c r="F34" s="12">
        <f>VLOOKUP(B34,Tabela1[],4,0)</f>
        <v>15.825782484975923</v>
      </c>
      <c r="G34" s="13">
        <f t="shared" si="0"/>
        <v>47.48</v>
      </c>
      <c r="H34" s="13">
        <f t="shared" si="1"/>
        <v>19.920000000000002</v>
      </c>
      <c r="I34" s="14">
        <f t="shared" si="2"/>
        <v>59.76</v>
      </c>
    </row>
    <row r="35" spans="1:9" x14ac:dyDescent="0.25">
      <c r="A35" s="74">
        <v>25</v>
      </c>
      <c r="B35" s="11">
        <v>231175</v>
      </c>
      <c r="C35" s="12" t="str">
        <f>VLOOKUP(B35,Tabela1[],2,0)</f>
        <v>CONECTOR ATERRAMENTO DE FERRAGEM</v>
      </c>
      <c r="D35" s="12" t="str">
        <f>VLOOKUP(B35,Tabela1[],3,0)</f>
        <v>PC</v>
      </c>
      <c r="E35" s="75">
        <v>15</v>
      </c>
      <c r="F35" s="12">
        <f>VLOOKUP(B35,Tabela1[],4,0)</f>
        <v>1.6458813784374962</v>
      </c>
      <c r="G35" s="13">
        <f t="shared" si="0"/>
        <v>24.69</v>
      </c>
      <c r="H35" s="13">
        <f t="shared" si="1"/>
        <v>2.0699999999999998</v>
      </c>
      <c r="I35" s="14">
        <f t="shared" si="2"/>
        <v>31.05</v>
      </c>
    </row>
    <row r="36" spans="1:9" x14ac:dyDescent="0.25">
      <c r="A36" s="74">
        <v>26</v>
      </c>
      <c r="B36" s="11">
        <v>377357</v>
      </c>
      <c r="C36" s="12" t="str">
        <f>VLOOKUP(B36,'preço de mercado'!A27:D1645,2,0)</f>
        <v>CONECTOR ATERRAMENTO TEMPORÁRIO MT</v>
      </c>
      <c r="D36" s="12" t="str">
        <f>VLOOKUP(B36,'preço de mercado'!A27:D1645,3,0)</f>
        <v>PC</v>
      </c>
      <c r="E36" s="75">
        <v>3</v>
      </c>
      <c r="F36" s="12">
        <f>VLOOKUP(B36,Tabela1[],4,0)</f>
        <v>20.799599837396929</v>
      </c>
      <c r="G36" s="13">
        <f t="shared" si="0"/>
        <v>62.4</v>
      </c>
      <c r="H36" s="13">
        <f t="shared" si="1"/>
        <v>26.17</v>
      </c>
      <c r="I36" s="14">
        <f t="shared" si="2"/>
        <v>78.510000000000005</v>
      </c>
    </row>
    <row r="37" spans="1:9" x14ac:dyDescent="0.25">
      <c r="A37" s="74">
        <v>27</v>
      </c>
      <c r="B37" s="11">
        <v>230052</v>
      </c>
      <c r="C37" s="12" t="str">
        <f>VLOOKUP(B37,'preço de mercado'!A28:D1646,2,0)</f>
        <v>CONECTOR BORNE CB CU 6MM2</v>
      </c>
      <c r="D37" s="12" t="str">
        <f>VLOOKUP(B37,'preço de mercado'!A28:D1646,3,0)</f>
        <v>PC</v>
      </c>
      <c r="E37" s="75">
        <v>4</v>
      </c>
      <c r="F37" s="12">
        <f>VLOOKUP(B37,Tabela1[],4,0)</f>
        <v>1.4017121629550107</v>
      </c>
      <c r="G37" s="13">
        <f t="shared" si="0"/>
        <v>5.61</v>
      </c>
      <c r="H37" s="13">
        <f t="shared" si="1"/>
        <v>1.76</v>
      </c>
      <c r="I37" s="14">
        <f t="shared" si="2"/>
        <v>7.04</v>
      </c>
    </row>
    <row r="38" spans="1:9" x14ac:dyDescent="0.25">
      <c r="A38" s="74">
        <v>28</v>
      </c>
      <c r="B38" s="11">
        <v>231795</v>
      </c>
      <c r="C38" s="12" t="str">
        <f>VLOOKUP(B38,'preço de mercado'!A29:D1647,2,0)</f>
        <v>CONECTOR CUNHA AL  50 COM ESTRIBO</v>
      </c>
      <c r="D38" s="12" t="str">
        <f>VLOOKUP(B38,'preço de mercado'!A29:D1647,3,0)</f>
        <v>PC</v>
      </c>
      <c r="E38" s="75">
        <v>3</v>
      </c>
      <c r="F38" s="12">
        <f>VLOOKUP(B38,Tabela1[],4,0)</f>
        <v>20.718210098902766</v>
      </c>
      <c r="G38" s="13">
        <f t="shared" si="0"/>
        <v>62.15</v>
      </c>
      <c r="H38" s="13">
        <f t="shared" si="1"/>
        <v>26.07</v>
      </c>
      <c r="I38" s="14">
        <f t="shared" si="2"/>
        <v>78.209999999999994</v>
      </c>
    </row>
    <row r="39" spans="1:9" x14ac:dyDescent="0.25">
      <c r="A39" s="74">
        <v>29</v>
      </c>
      <c r="B39" s="11">
        <v>227769</v>
      </c>
      <c r="C39" s="12" t="str">
        <f>VLOOKUP(B39,'preço de mercado'!A30:D1648,2,0)</f>
        <v>CONECTOR H ITEM 1 CAA 13-34 / 13-34MM2</v>
      </c>
      <c r="D39" s="12" t="str">
        <f>VLOOKUP(B39,'preço de mercado'!A30:D1648,3,0)</f>
        <v>PC</v>
      </c>
      <c r="E39" s="75">
        <v>14</v>
      </c>
      <c r="F39" s="12">
        <f>VLOOKUP(B39,Tabela1[],4,0)</f>
        <v>3.7258413621771895</v>
      </c>
      <c r="G39" s="13">
        <f t="shared" si="0"/>
        <v>52.16</v>
      </c>
      <c r="H39" s="13">
        <f t="shared" si="1"/>
        <v>4.6900000000000004</v>
      </c>
      <c r="I39" s="14">
        <f t="shared" si="2"/>
        <v>65.66</v>
      </c>
    </row>
    <row r="40" spans="1:9" x14ac:dyDescent="0.25">
      <c r="A40" s="74">
        <v>30</v>
      </c>
      <c r="B40" s="11">
        <v>227777</v>
      </c>
      <c r="C40" s="12" t="str">
        <f>VLOOKUP(B40,'preço de mercado'!A31:D1649,2,0)</f>
        <v>CONECTOR H ITEM 2 CAA 27-54 / 13-34MM2</v>
      </c>
      <c r="D40" s="12" t="str">
        <f>VLOOKUP(B40,'preço de mercado'!A31:D1649,3,0)</f>
        <v>PC</v>
      </c>
      <c r="E40" s="75">
        <v>8</v>
      </c>
      <c r="F40" s="12">
        <f>VLOOKUP(B40,Tabela1[],4,0)</f>
        <v>4.919557526758231</v>
      </c>
      <c r="G40" s="13">
        <f t="shared" si="0"/>
        <v>39.36</v>
      </c>
      <c r="H40" s="13">
        <f t="shared" si="1"/>
        <v>6.19</v>
      </c>
      <c r="I40" s="14">
        <f t="shared" si="2"/>
        <v>49.52</v>
      </c>
    </row>
    <row r="41" spans="1:9" x14ac:dyDescent="0.25">
      <c r="A41" s="74">
        <v>31</v>
      </c>
      <c r="B41" s="11">
        <v>227785</v>
      </c>
      <c r="C41" s="12" t="str">
        <f>VLOOKUP(B41,'preço de mercado'!A32:D1650,2,0)</f>
        <v>CONECTOR H ITEM 3 CAA 42-67/ 42-67MM2</v>
      </c>
      <c r="D41" s="12" t="str">
        <f>VLOOKUP(B41,'preço de mercado'!A32:D1650,3,0)</f>
        <v>PC</v>
      </c>
      <c r="E41" s="75">
        <v>4</v>
      </c>
      <c r="F41" s="12">
        <f>VLOOKUP(B41,Tabela1[],4,0)</f>
        <v>5.8600611715796571</v>
      </c>
      <c r="G41" s="13">
        <f t="shared" si="0"/>
        <v>23.44</v>
      </c>
      <c r="H41" s="13">
        <f t="shared" si="1"/>
        <v>7.37</v>
      </c>
      <c r="I41" s="14">
        <f t="shared" si="2"/>
        <v>29.48</v>
      </c>
    </row>
    <row r="42" spans="1:9" x14ac:dyDescent="0.25">
      <c r="A42" s="74">
        <v>32</v>
      </c>
      <c r="B42" s="11">
        <v>327726</v>
      </c>
      <c r="C42" s="12" t="str">
        <f>VLOOKUP(B42,'preço de mercado'!A33:D1651,2,0)</f>
        <v>CONECTOR PERFURAÇÃO 10-70/6-35MM2</v>
      </c>
      <c r="D42" s="12" t="str">
        <f>VLOOKUP(B42,'preço de mercado'!A33:D1651,3,0)</f>
        <v>PC</v>
      </c>
      <c r="E42" s="75">
        <v>9</v>
      </c>
      <c r="F42" s="12">
        <f>VLOOKUP(B42,Tabela1[],4,0)</f>
        <v>10.372670005867077</v>
      </c>
      <c r="G42" s="13">
        <f t="shared" si="0"/>
        <v>93.35</v>
      </c>
      <c r="H42" s="13">
        <f t="shared" si="1"/>
        <v>13.05</v>
      </c>
      <c r="I42" s="14">
        <f t="shared" si="2"/>
        <v>117.45</v>
      </c>
    </row>
    <row r="43" spans="1:9" x14ac:dyDescent="0.25">
      <c r="A43" s="74">
        <v>33</v>
      </c>
      <c r="B43" s="11">
        <v>379679</v>
      </c>
      <c r="C43" s="12" t="str">
        <f>VLOOKUP(B43,'preço de mercado'!A34:D1652,2,0)</f>
        <v>CONECTOR PERFURAÇÃO 35-120/1,5MM2</v>
      </c>
      <c r="D43" s="12" t="str">
        <f>VLOOKUP(B43,'preço de mercado'!A36:D1654,3,0)</f>
        <v>PC</v>
      </c>
      <c r="E43" s="75">
        <v>10</v>
      </c>
      <c r="F43" s="12">
        <f>VLOOKUP(B43,Tabela1[],4,0)</f>
        <v>15.011885100034306</v>
      </c>
      <c r="G43" s="13">
        <f t="shared" ref="G43:G71" si="3">ROUND(F43*E43,2)</f>
        <v>150.12</v>
      </c>
      <c r="H43" s="13">
        <f t="shared" ref="H43:H71" si="4">ROUND(F43*(1+$I$7),2)</f>
        <v>18.89</v>
      </c>
      <c r="I43" s="14">
        <f t="shared" ref="I43:I71" si="5">ROUND(H43*E43,2)</f>
        <v>188.9</v>
      </c>
    </row>
    <row r="44" spans="1:9" x14ac:dyDescent="0.25">
      <c r="A44" s="74">
        <v>34</v>
      </c>
      <c r="B44" s="11">
        <v>327767</v>
      </c>
      <c r="C44" s="12" t="str">
        <f>VLOOKUP(B44,'preço de mercado'!A35:D1653,2,0)</f>
        <v>CONECTOR PERFURAÇÃO 70-120/70-120MM2</v>
      </c>
      <c r="D44" s="12" t="str">
        <f>VLOOKUP(B44,'preço de mercado'!A37:D1655,3,0)</f>
        <v>PC</v>
      </c>
      <c r="E44" s="75">
        <v>3</v>
      </c>
      <c r="F44" s="12">
        <f>VLOOKUP(B44,Tabela1[],4,0)</f>
        <v>41.97901845443328</v>
      </c>
      <c r="G44" s="13">
        <f t="shared" si="3"/>
        <v>125.94</v>
      </c>
      <c r="H44" s="13">
        <f t="shared" si="4"/>
        <v>52.83</v>
      </c>
      <c r="I44" s="14">
        <f t="shared" si="5"/>
        <v>158.49</v>
      </c>
    </row>
    <row r="45" spans="1:9" x14ac:dyDescent="0.25">
      <c r="A45" s="74">
        <v>35</v>
      </c>
      <c r="B45" s="11">
        <v>338731</v>
      </c>
      <c r="C45" s="12" t="str">
        <f>VLOOKUP(B45,'preço de mercado'!A36:D1654,2,0)</f>
        <v>CONECTOR TERM COMP  16MM2</v>
      </c>
      <c r="D45" s="12" t="str">
        <f>VLOOKUP(B45,'preço de mercado'!A38:D1656,3,0)</f>
        <v>PC</v>
      </c>
      <c r="E45" s="75">
        <v>3</v>
      </c>
      <c r="F45" s="12">
        <f>VLOOKUP(B45,Tabela1[],4,0)</f>
        <v>2.6044716318131806</v>
      </c>
      <c r="G45" s="13">
        <f t="shared" si="3"/>
        <v>7.81</v>
      </c>
      <c r="H45" s="13">
        <f t="shared" si="4"/>
        <v>3.28</v>
      </c>
      <c r="I45" s="14">
        <f t="shared" si="5"/>
        <v>9.84</v>
      </c>
    </row>
    <row r="46" spans="1:9" x14ac:dyDescent="0.25">
      <c r="A46" s="74">
        <v>36</v>
      </c>
      <c r="B46" s="11">
        <v>231886</v>
      </c>
      <c r="C46" s="12" t="str">
        <f>VLOOKUP(B46,'preço de mercado'!A37:D1655,2,0)</f>
        <v>CONECTOR TERM COMP 1F 50MM2</v>
      </c>
      <c r="D46" s="12" t="str">
        <f>VLOOKUP(B46,'preço de mercado'!A39:D1657,3,0)</f>
        <v>PC</v>
      </c>
      <c r="E46" s="75">
        <v>3</v>
      </c>
      <c r="F46" s="12">
        <f>VLOOKUP(B46,Tabela1[],4,0)</f>
        <v>2.1613497222338549</v>
      </c>
      <c r="G46" s="13">
        <f t="shared" si="3"/>
        <v>6.48</v>
      </c>
      <c r="H46" s="13">
        <f t="shared" si="4"/>
        <v>2.72</v>
      </c>
      <c r="I46" s="14">
        <f t="shared" si="5"/>
        <v>8.16</v>
      </c>
    </row>
    <row r="47" spans="1:9" x14ac:dyDescent="0.25">
      <c r="A47" s="74">
        <v>37</v>
      </c>
      <c r="B47" s="11">
        <v>227389</v>
      </c>
      <c r="C47" s="12" t="str">
        <f>VLOOKUP(B47,'preço de mercado'!A38:D1656,2,0)</f>
        <v>CONECTOR TERM COMP CB ACO 6.4MM 1 FURO</v>
      </c>
      <c r="D47" s="12" t="str">
        <f>VLOOKUP(B47,'preço de mercado'!A40:D1658,3,0)</f>
        <v>PC</v>
      </c>
      <c r="E47" s="75">
        <v>6</v>
      </c>
      <c r="F47" s="12">
        <f>VLOOKUP(B47,Tabela1[],4,0)</f>
        <v>2.2427394607280169</v>
      </c>
      <c r="G47" s="13">
        <f t="shared" si="3"/>
        <v>13.46</v>
      </c>
      <c r="H47" s="13">
        <f t="shared" si="4"/>
        <v>2.82</v>
      </c>
      <c r="I47" s="14">
        <f t="shared" si="5"/>
        <v>16.920000000000002</v>
      </c>
    </row>
    <row r="48" spans="1:9" x14ac:dyDescent="0.25">
      <c r="A48" s="74">
        <v>38</v>
      </c>
      <c r="B48" s="11">
        <v>271353</v>
      </c>
      <c r="C48" s="12" t="str">
        <f>VLOOKUP(B48,'preço de mercado'!A39:D1657,2,0)</f>
        <v>ELO FUSIVEL DISTRIB 500MM   3H</v>
      </c>
      <c r="D48" s="12" t="str">
        <f>VLOOKUP(B48,'preço de mercado'!A41:D1659,3,0)</f>
        <v>PC</v>
      </c>
      <c r="E48" s="75">
        <v>3</v>
      </c>
      <c r="F48" s="12">
        <f>VLOOKUP(B48,Tabela1[],4,0)</f>
        <v>7.0989938575463425</v>
      </c>
      <c r="G48" s="13">
        <f t="shared" si="3"/>
        <v>21.3</v>
      </c>
      <c r="H48" s="13">
        <f t="shared" si="4"/>
        <v>8.93</v>
      </c>
      <c r="I48" s="14">
        <f t="shared" si="5"/>
        <v>26.79</v>
      </c>
    </row>
    <row r="49" spans="1:9" x14ac:dyDescent="0.25">
      <c r="A49" s="74">
        <v>39</v>
      </c>
      <c r="B49" s="11">
        <v>234492</v>
      </c>
      <c r="C49" s="12" t="str">
        <f>VLOOKUP(B49,'preço de mercado'!A40:D1658,2,0)</f>
        <v>FIO AL 5.1MM AMARRACAO</v>
      </c>
      <c r="D49" s="12" t="str">
        <f>VLOOKUP(B49,'preço de mercado'!A42:D1660,3,0)</f>
        <v>ML</v>
      </c>
      <c r="E49" s="75">
        <v>4.5</v>
      </c>
      <c r="F49" s="12">
        <f>VLOOKUP(B49,Tabela1[],4,0)</f>
        <v>6.1404036041706584</v>
      </c>
      <c r="G49" s="13">
        <f t="shared" si="3"/>
        <v>27.63</v>
      </c>
      <c r="H49" s="13">
        <f t="shared" si="4"/>
        <v>7.73</v>
      </c>
      <c r="I49" s="14">
        <f t="shared" si="5"/>
        <v>34.79</v>
      </c>
    </row>
    <row r="50" spans="1:9" x14ac:dyDescent="0.25">
      <c r="A50" s="74">
        <v>40</v>
      </c>
      <c r="B50" s="11">
        <v>222539</v>
      </c>
      <c r="C50" s="12" t="str">
        <f>VLOOKUP(B50,'preço de mercado'!A41:D1659,2,0)</f>
        <v>HASTE ATERRAMENTO 2400MM ACO</v>
      </c>
      <c r="D50" s="12" t="str">
        <f>VLOOKUP(B50,'preço de mercado'!A43:D1661,3,0)</f>
        <v>PC</v>
      </c>
      <c r="E50" s="75">
        <v>4</v>
      </c>
      <c r="F50" s="12">
        <f>VLOOKUP(B50,Tabela1[],4,0)</f>
        <v>55.218415916150285</v>
      </c>
      <c r="G50" s="13">
        <f t="shared" si="3"/>
        <v>220.87</v>
      </c>
      <c r="H50" s="13">
        <f t="shared" si="4"/>
        <v>69.489999999999995</v>
      </c>
      <c r="I50" s="14">
        <f t="shared" si="5"/>
        <v>277.95999999999998</v>
      </c>
    </row>
    <row r="51" spans="1:9" x14ac:dyDescent="0.25">
      <c r="A51" s="74">
        <v>41</v>
      </c>
      <c r="B51" s="11">
        <v>352237</v>
      </c>
      <c r="C51" s="12" t="str">
        <f>VLOOKUP(B51,'preço de mercado'!A42:D1660,2,0)</f>
        <v>IDENTIFICADOR DE FASE A</v>
      </c>
      <c r="D51" s="12" t="str">
        <f>VLOOKUP(B51,'preço de mercado'!A44:D1662,3,0)</f>
        <v>PC</v>
      </c>
      <c r="E51" s="75">
        <v>4</v>
      </c>
      <c r="F51" s="12">
        <f>VLOOKUP(B51,Tabela1[],4,0)</f>
        <v>1.1394563389182666</v>
      </c>
      <c r="G51" s="13">
        <f t="shared" si="3"/>
        <v>4.5599999999999996</v>
      </c>
      <c r="H51" s="13">
        <f t="shared" si="4"/>
        <v>1.43</v>
      </c>
      <c r="I51" s="14">
        <f t="shared" si="5"/>
        <v>5.72</v>
      </c>
    </row>
    <row r="52" spans="1:9" x14ac:dyDescent="0.25">
      <c r="A52" s="74">
        <v>42</v>
      </c>
      <c r="B52" s="11">
        <v>352242</v>
      </c>
      <c r="C52" s="12" t="str">
        <f>VLOOKUP(B52,'preço de mercado'!A43:D1661,2,0)</f>
        <v>IDENTIFICADOR DE FASE B</v>
      </c>
      <c r="D52" s="12" t="str">
        <f>VLOOKUP(B52,'preço de mercado'!A45:D1663,3,0)</f>
        <v>PC</v>
      </c>
      <c r="E52" s="75">
        <v>5</v>
      </c>
      <c r="F52" s="12">
        <f>VLOOKUP(B52,Tabela1[],4,0)</f>
        <v>1.1394563389182666</v>
      </c>
      <c r="G52" s="13">
        <f t="shared" si="3"/>
        <v>5.7</v>
      </c>
      <c r="H52" s="13">
        <f t="shared" si="4"/>
        <v>1.43</v>
      </c>
      <c r="I52" s="14">
        <f t="shared" si="5"/>
        <v>7.15</v>
      </c>
    </row>
    <row r="53" spans="1:9" x14ac:dyDescent="0.25">
      <c r="A53" s="74">
        <v>43</v>
      </c>
      <c r="B53" s="11">
        <v>352260</v>
      </c>
      <c r="C53" s="12" t="str">
        <f>VLOOKUP(B53,'preço de mercado'!A44:D1662,2,0)</f>
        <v>IDENTIFICADOR DE FASE C</v>
      </c>
      <c r="D53" s="12" t="str">
        <f>VLOOKUP(B53,'preço de mercado'!A46:D1664,3,0)</f>
        <v>PC</v>
      </c>
      <c r="E53" s="75">
        <v>1</v>
      </c>
      <c r="F53" s="12">
        <f>VLOOKUP(B53,Tabela1[],4,0)</f>
        <v>1.1394563389182666</v>
      </c>
      <c r="G53" s="13">
        <f t="shared" si="3"/>
        <v>1.1399999999999999</v>
      </c>
      <c r="H53" s="13">
        <f t="shared" si="4"/>
        <v>1.43</v>
      </c>
      <c r="I53" s="14">
        <f t="shared" si="5"/>
        <v>1.43</v>
      </c>
    </row>
    <row r="54" spans="1:9" x14ac:dyDescent="0.25">
      <c r="A54" s="74">
        <v>44</v>
      </c>
      <c r="B54" s="11">
        <v>219642</v>
      </c>
      <c r="C54" s="12" t="str">
        <f>VLOOKUP(B54,'preço de mercado'!A45:D1663,2,0)</f>
        <v>ISOLADOR PINO POLIMERICO 15KV</v>
      </c>
      <c r="D54" s="12" t="str">
        <f>VLOOKUP(B54,'preço de mercado'!A47:D1665,3,0)</f>
        <v>PC</v>
      </c>
      <c r="E54" s="75">
        <v>3</v>
      </c>
      <c r="F54" s="12">
        <f>VLOOKUP(B54,Tabela1[],4,0)</f>
        <v>29.164656293741345</v>
      </c>
      <c r="G54" s="13">
        <f t="shared" si="3"/>
        <v>87.49</v>
      </c>
      <c r="H54" s="13">
        <f t="shared" si="4"/>
        <v>36.700000000000003</v>
      </c>
      <c r="I54" s="14">
        <f t="shared" si="5"/>
        <v>110.1</v>
      </c>
    </row>
    <row r="55" spans="1:9" x14ac:dyDescent="0.25">
      <c r="A55" s="74">
        <v>45</v>
      </c>
      <c r="B55" s="11">
        <v>376238</v>
      </c>
      <c r="C55" s="12" t="str">
        <f>VLOOKUP(B55,'preço de mercado'!A46:D1664,2,0)</f>
        <v>LAMPADA VS  100W AP E-40 TUBULAR</v>
      </c>
      <c r="D55" s="12" t="str">
        <f>VLOOKUP(B55,'preço de mercado'!A48:D1666,3,0)</f>
        <v>PC</v>
      </c>
      <c r="E55" s="75">
        <v>2</v>
      </c>
      <c r="F55" s="12">
        <f>VLOOKUP(B55,Tabela1[],4,0)</f>
        <v>27.138956135664429</v>
      </c>
      <c r="G55" s="13">
        <f t="shared" si="3"/>
        <v>54.28</v>
      </c>
      <c r="H55" s="13">
        <f t="shared" si="4"/>
        <v>34.15</v>
      </c>
      <c r="I55" s="14">
        <f t="shared" si="5"/>
        <v>68.3</v>
      </c>
    </row>
    <row r="56" spans="1:9" x14ac:dyDescent="0.25">
      <c r="A56" s="74">
        <v>46</v>
      </c>
      <c r="B56" s="11">
        <v>376109</v>
      </c>
      <c r="C56" s="12" t="str">
        <f>VLOOKUP(B56,'preço de mercado'!A47:D1665,2,0)</f>
        <v>LUMINARIA C/EQUIP VS100W VIDRO PLANO</v>
      </c>
      <c r="D56" s="12" t="str">
        <f>VLOOKUP(B56,'preço de mercado'!A48:D1666,3,0)</f>
        <v>PC</v>
      </c>
      <c r="E56" s="75">
        <v>2</v>
      </c>
      <c r="F56" s="12">
        <f>VLOOKUP(B56,Tabela1[],4,0)</f>
        <v>393.38373605511583</v>
      </c>
      <c r="G56" s="13">
        <f t="shared" si="3"/>
        <v>786.77</v>
      </c>
      <c r="H56" s="13">
        <f t="shared" si="4"/>
        <v>495.05</v>
      </c>
      <c r="I56" s="14">
        <f t="shared" si="5"/>
        <v>990.1</v>
      </c>
    </row>
    <row r="57" spans="1:9" x14ac:dyDescent="0.25">
      <c r="A57" s="74">
        <v>47</v>
      </c>
      <c r="B57" s="11">
        <v>374393</v>
      </c>
      <c r="C57" s="12" t="str">
        <f>VLOOKUP(B57,'preço de mercado'!A48:D1666,2,0)</f>
        <v>MANTA AUTO-ADESIVA 15KV RDP</v>
      </c>
      <c r="D57" s="12" t="str">
        <f>VLOOKUP(B57,'preço de mercado'!A49:D1667,3,0)</f>
        <v>PC</v>
      </c>
      <c r="E57" s="75">
        <v>3</v>
      </c>
      <c r="F57" s="12">
        <f>VLOOKUP(B57,Tabela1[],4,0)</f>
        <v>85.36879237609871</v>
      </c>
      <c r="G57" s="13">
        <f t="shared" si="3"/>
        <v>256.11</v>
      </c>
      <c r="H57" s="13">
        <f t="shared" si="4"/>
        <v>107.43</v>
      </c>
      <c r="I57" s="14">
        <f t="shared" si="5"/>
        <v>322.29000000000002</v>
      </c>
    </row>
    <row r="58" spans="1:9" x14ac:dyDescent="0.25">
      <c r="A58" s="74">
        <v>48</v>
      </c>
      <c r="B58" s="11">
        <v>237289</v>
      </c>
      <c r="C58" s="12" t="str">
        <f>VLOOKUP(B58,'preço de mercado'!A49:D1667,2,0)</f>
        <v>OLHAL P/ PARAFUSO CL 50KN</v>
      </c>
      <c r="D58" s="12" t="str">
        <f>VLOOKUP(B58,'preço de mercado'!A50:D1668,3,0)</f>
        <v>PC</v>
      </c>
      <c r="E58" s="75">
        <v>14</v>
      </c>
      <c r="F58" s="12">
        <f>VLOOKUP(B58,Tabela1[],4,0)</f>
        <v>21.450717745350225</v>
      </c>
      <c r="G58" s="13">
        <f t="shared" si="3"/>
        <v>300.31</v>
      </c>
      <c r="H58" s="13">
        <f t="shared" si="4"/>
        <v>26.99</v>
      </c>
      <c r="I58" s="14">
        <f t="shared" si="5"/>
        <v>377.86</v>
      </c>
    </row>
    <row r="59" spans="1:9" x14ac:dyDescent="0.25">
      <c r="A59" s="74">
        <v>49</v>
      </c>
      <c r="B59" s="11">
        <v>293357</v>
      </c>
      <c r="C59" s="12" t="str">
        <f>VLOOKUP(B59,'preço de mercado'!A50:D1668,2,0)</f>
        <v>PARA RAIOS REDE SECUNDARIA ISOLADA 10KA</v>
      </c>
      <c r="D59" s="12" t="str">
        <f>VLOOKUP(B59,'preço de mercado'!A51:D1669,3,0)</f>
        <v>PC</v>
      </c>
      <c r="E59" s="75">
        <v>3</v>
      </c>
      <c r="F59" s="12">
        <f>VLOOKUP(B59,Tabela1[],4,0)</f>
        <v>97.405430368957525</v>
      </c>
      <c r="G59" s="13">
        <f t="shared" si="3"/>
        <v>292.22000000000003</v>
      </c>
      <c r="H59" s="13">
        <f t="shared" si="4"/>
        <v>122.58</v>
      </c>
      <c r="I59" s="14">
        <f t="shared" si="5"/>
        <v>367.74</v>
      </c>
    </row>
    <row r="60" spans="1:9" x14ac:dyDescent="0.25">
      <c r="A60" s="74">
        <v>50</v>
      </c>
      <c r="B60" s="11">
        <v>289058</v>
      </c>
      <c r="C60" s="12" t="str">
        <f>VLOOKUP(B60,'preço de mercado'!A51:D1669,2,0)</f>
        <v>PARA-RAIOS 12KV 10KA ZNO POLIMERICO</v>
      </c>
      <c r="D60" s="12" t="str">
        <f>VLOOKUP(B60,'preço de mercado'!A52:D1670,3,0)</f>
        <v>PC</v>
      </c>
      <c r="E60" s="75">
        <v>3</v>
      </c>
      <c r="F60" s="12">
        <f>VLOOKUP(B60,Tabela1[],4,0)</f>
        <v>173.13406038563659</v>
      </c>
      <c r="G60" s="13">
        <f t="shared" si="3"/>
        <v>519.4</v>
      </c>
      <c r="H60" s="13">
        <f t="shared" si="4"/>
        <v>217.88</v>
      </c>
      <c r="I60" s="14">
        <f t="shared" si="5"/>
        <v>653.64</v>
      </c>
    </row>
    <row r="61" spans="1:9" x14ac:dyDescent="0.25">
      <c r="A61" s="74">
        <v>51</v>
      </c>
      <c r="B61" s="11">
        <v>66878</v>
      </c>
      <c r="C61" s="12" t="str">
        <f>VLOOKUP(B61,Tabela1[],2,0)</f>
        <v>PARAFUSO CABECA ABAULADA M16X 45MM</v>
      </c>
      <c r="D61" s="12" t="str">
        <f>VLOOKUP(B61,Tabela1[],3,0)</f>
        <v>PC</v>
      </c>
      <c r="E61" s="75">
        <v>15</v>
      </c>
      <c r="F61" s="12">
        <f>VLOOKUP(B61,Tabela1[],4,0)</f>
        <v>3.2917627568749923</v>
      </c>
      <c r="G61" s="13">
        <f t="shared" si="3"/>
        <v>49.38</v>
      </c>
      <c r="H61" s="13">
        <f t="shared" si="4"/>
        <v>4.1399999999999997</v>
      </c>
      <c r="I61" s="14">
        <f t="shared" si="5"/>
        <v>62.1</v>
      </c>
    </row>
    <row r="62" spans="1:9" x14ac:dyDescent="0.25">
      <c r="A62" s="74">
        <v>52</v>
      </c>
      <c r="B62" s="11">
        <v>66886</v>
      </c>
      <c r="C62" s="12" t="str">
        <f>VLOOKUP(B62,Tabela1[],2,0)</f>
        <v>PARAFUSO CABECA ABAULADA M16X 70MM</v>
      </c>
      <c r="D62" s="12" t="str">
        <f>VLOOKUP(B62,Tabela1[],3,0)</f>
        <v>PC</v>
      </c>
      <c r="E62" s="75">
        <v>20</v>
      </c>
      <c r="F62" s="12">
        <f>VLOOKUP(B62,Tabela1[],4,0)</f>
        <v>4.62112848561297</v>
      </c>
      <c r="G62" s="13">
        <f t="shared" si="3"/>
        <v>92.42</v>
      </c>
      <c r="H62" s="13">
        <f t="shared" si="4"/>
        <v>5.82</v>
      </c>
      <c r="I62" s="14">
        <f t="shared" si="5"/>
        <v>116.4</v>
      </c>
    </row>
    <row r="63" spans="1:9" x14ac:dyDescent="0.25">
      <c r="A63" s="74">
        <v>53</v>
      </c>
      <c r="B63" s="11">
        <v>74823</v>
      </c>
      <c r="C63" s="12" t="str">
        <f>VLOOKUP(B63,Tabela1[],2,0)</f>
        <v>PARAFUSO CABECA QUADRADA M16X250MM</v>
      </c>
      <c r="D63" s="12" t="str">
        <f>VLOOKUP(B63,Tabela1[],3,0)</f>
        <v>PC</v>
      </c>
      <c r="E63" s="75">
        <v>6</v>
      </c>
      <c r="F63" s="12">
        <f>VLOOKUP(B63,Tabela1[],4,0)</f>
        <v>7.1442103789319891</v>
      </c>
      <c r="G63" s="13">
        <f t="shared" si="3"/>
        <v>42.87</v>
      </c>
      <c r="H63" s="13">
        <f t="shared" si="4"/>
        <v>8.99</v>
      </c>
      <c r="I63" s="14">
        <f t="shared" si="5"/>
        <v>53.94</v>
      </c>
    </row>
    <row r="64" spans="1:9" x14ac:dyDescent="0.25">
      <c r="A64" s="74">
        <v>54</v>
      </c>
      <c r="B64" s="11">
        <v>74831</v>
      </c>
      <c r="C64" s="12" t="str">
        <f>VLOOKUP(B64,Tabela1[],2,0)</f>
        <v>PARAFUSO CABECA QUADRADA M16X300MM</v>
      </c>
      <c r="D64" s="12" t="str">
        <f>VLOOKUP(B64,Tabela1[],3,0)</f>
        <v>PC</v>
      </c>
      <c r="E64" s="75">
        <v>8</v>
      </c>
      <c r="F64" s="12">
        <f>VLOOKUP(B64,Tabela1[],4,0)</f>
        <v>8.5278359333327405</v>
      </c>
      <c r="G64" s="13">
        <f t="shared" si="3"/>
        <v>68.22</v>
      </c>
      <c r="H64" s="13">
        <f t="shared" si="4"/>
        <v>10.73</v>
      </c>
      <c r="I64" s="14">
        <f t="shared" si="5"/>
        <v>85.84</v>
      </c>
    </row>
    <row r="65" spans="1:9" x14ac:dyDescent="0.25">
      <c r="A65" s="74">
        <v>55</v>
      </c>
      <c r="B65" s="11">
        <v>236265</v>
      </c>
      <c r="C65" s="12" t="str">
        <f>VLOOKUP(B65,Tabela1[],2,0)</f>
        <v>PINO P/ ISOLADOR POLIMERICO ATE 36,2KV</v>
      </c>
      <c r="D65" s="12" t="str">
        <f>VLOOKUP(B65,Tabela1[],3,0)</f>
        <v>PC</v>
      </c>
      <c r="E65" s="75">
        <v>3</v>
      </c>
      <c r="F65" s="12">
        <f>VLOOKUP(B65,Tabela1[],4,0)</f>
        <v>20.709166794625638</v>
      </c>
      <c r="G65" s="13">
        <f t="shared" si="3"/>
        <v>62.13</v>
      </c>
      <c r="H65" s="13">
        <f t="shared" si="4"/>
        <v>26.06</v>
      </c>
      <c r="I65" s="14">
        <f t="shared" si="5"/>
        <v>78.180000000000007</v>
      </c>
    </row>
    <row r="66" spans="1:9" x14ac:dyDescent="0.25">
      <c r="A66" s="74">
        <v>56</v>
      </c>
      <c r="B66" s="11">
        <v>207373</v>
      </c>
      <c r="C66" s="12" t="str">
        <f>VLOOKUP(B66,Tabela1[],2,0)</f>
        <v>POSTE CONCRETO DUPLO T 11M 300DAN</v>
      </c>
      <c r="D66" s="12" t="str">
        <f>VLOOKUP(B66,Tabela1[],3,0)</f>
        <v>PC</v>
      </c>
      <c r="E66" s="75">
        <v>2</v>
      </c>
      <c r="F66" s="12">
        <f>VLOOKUP(B66,Tabela1[],4,0)</f>
        <v>872.90494534988636</v>
      </c>
      <c r="G66" s="13">
        <f t="shared" si="3"/>
        <v>1745.81</v>
      </c>
      <c r="H66" s="13">
        <f t="shared" si="4"/>
        <v>1098.49</v>
      </c>
      <c r="I66" s="14">
        <f t="shared" si="5"/>
        <v>2196.98</v>
      </c>
    </row>
    <row r="67" spans="1:9" x14ac:dyDescent="0.25">
      <c r="A67" s="74">
        <v>57</v>
      </c>
      <c r="B67" s="11">
        <v>327361</v>
      </c>
      <c r="C67" s="12" t="str">
        <f>VLOOKUP(B67,Tabela1[],2,0)</f>
        <v>RELE FOTOELETRONICO</v>
      </c>
      <c r="D67" s="12" t="str">
        <f>VLOOKUP(B67,Tabela1[],3,0)</f>
        <v>PC</v>
      </c>
      <c r="E67" s="75">
        <v>2</v>
      </c>
      <c r="F67" s="12">
        <f>VLOOKUP(B67,Tabela1[],4,0)</f>
        <v>27.771987435063465</v>
      </c>
      <c r="G67" s="13">
        <f t="shared" si="3"/>
        <v>55.54</v>
      </c>
      <c r="H67" s="13">
        <f t="shared" si="4"/>
        <v>34.950000000000003</v>
      </c>
      <c r="I67" s="14">
        <f t="shared" si="5"/>
        <v>69.900000000000006</v>
      </c>
    </row>
    <row r="68" spans="1:9" x14ac:dyDescent="0.25">
      <c r="A68" s="74">
        <v>58</v>
      </c>
      <c r="B68" s="11">
        <v>237768</v>
      </c>
      <c r="C68" s="12" t="str">
        <f>VLOOKUP(B68,Tabela1[],2,0)</f>
        <v>SAPATILHA</v>
      </c>
      <c r="D68" s="12" t="str">
        <f>VLOOKUP(B68,Tabela1[],3,0)</f>
        <v>PC</v>
      </c>
      <c r="E68" s="75">
        <v>5</v>
      </c>
      <c r="F68" s="12">
        <f>VLOOKUP(B68,Tabela1[],4,0)</f>
        <v>1.8357907682572072</v>
      </c>
      <c r="G68" s="13">
        <f t="shared" si="3"/>
        <v>9.18</v>
      </c>
      <c r="H68" s="13">
        <f t="shared" si="4"/>
        <v>2.31</v>
      </c>
      <c r="I68" s="14">
        <f t="shared" si="5"/>
        <v>11.55</v>
      </c>
    </row>
    <row r="69" spans="1:9" x14ac:dyDescent="0.25">
      <c r="A69" s="74">
        <v>59</v>
      </c>
      <c r="B69" s="11">
        <v>237081</v>
      </c>
      <c r="C69" s="12" t="str">
        <f>VLOOKUP(B69,Tabela1[],2,0)</f>
        <v>SUPORTE 240MM TRAFO PT CC</v>
      </c>
      <c r="D69" s="12" t="str">
        <f>VLOOKUP(B69,Tabela1[],3,0)</f>
        <v>PC</v>
      </c>
      <c r="E69" s="75">
        <v>2</v>
      </c>
      <c r="F69" s="12">
        <f>VLOOKUP(B69,Tabela1[],4,0)</f>
        <v>105.51727430554234</v>
      </c>
      <c r="G69" s="13">
        <f t="shared" si="3"/>
        <v>211.03</v>
      </c>
      <c r="H69" s="13">
        <f t="shared" si="4"/>
        <v>132.79</v>
      </c>
      <c r="I69" s="14">
        <f t="shared" si="5"/>
        <v>265.58</v>
      </c>
    </row>
    <row r="70" spans="1:9" x14ac:dyDescent="0.25">
      <c r="A70" s="74">
        <v>60</v>
      </c>
      <c r="B70" s="11">
        <v>231555</v>
      </c>
      <c r="C70" s="12" t="str">
        <f>VLOOKUP(B70,Tabela1[],2,0)</f>
        <v>SUPORTE Z</v>
      </c>
      <c r="D70" s="12" t="str">
        <f>VLOOKUP(B70,Tabela1[],3,0)</f>
        <v>PC</v>
      </c>
      <c r="E70" s="75">
        <v>3</v>
      </c>
      <c r="F70" s="12">
        <f>VLOOKUP(B70,Tabela1[],4,0)</f>
        <v>17.299841082147964</v>
      </c>
      <c r="G70" s="13">
        <f t="shared" si="3"/>
        <v>51.9</v>
      </c>
      <c r="H70" s="13">
        <f t="shared" si="4"/>
        <v>21.77</v>
      </c>
      <c r="I70" s="14">
        <f t="shared" si="5"/>
        <v>65.31</v>
      </c>
    </row>
    <row r="71" spans="1:9" x14ac:dyDescent="0.25">
      <c r="A71" s="74">
        <v>61</v>
      </c>
      <c r="B71" s="11">
        <v>245837</v>
      </c>
      <c r="C71" s="12" t="str">
        <f>VLOOKUP(B71,Tabela1[],2,0)</f>
        <v>TRANSF. TF 15KV   45KVA</v>
      </c>
      <c r="D71" s="12" t="str">
        <f>VLOOKUP(B71,Tabela1[],3,0)</f>
        <v>PC</v>
      </c>
      <c r="E71" s="75">
        <v>1</v>
      </c>
      <c r="F71" s="12">
        <f>VLOOKUP(B71,Tabela1[],4,0)</f>
        <v>7588.7792171956562</v>
      </c>
      <c r="G71" s="13">
        <f t="shared" si="3"/>
        <v>7588.78</v>
      </c>
      <c r="H71" s="13">
        <f t="shared" si="4"/>
        <v>9549.9699999999993</v>
      </c>
      <c r="I71" s="14">
        <f t="shared" si="5"/>
        <v>9549.9699999999993</v>
      </c>
    </row>
    <row r="72" spans="1:9" x14ac:dyDescent="0.25">
      <c r="A72" s="99" t="s">
        <v>1709</v>
      </c>
      <c r="B72" s="99"/>
      <c r="C72" s="99"/>
      <c r="D72" s="99"/>
      <c r="E72" s="99"/>
      <c r="F72" s="100">
        <f>ROUND(SUM(G11:G71),2)</f>
        <v>17696</v>
      </c>
      <c r="G72" s="100"/>
      <c r="H72" s="101">
        <f>ROUND(SUM(I11:I71),2)</f>
        <v>22269.15</v>
      </c>
      <c r="I72" s="101"/>
    </row>
    <row r="73" spans="1:9" x14ac:dyDescent="0.25">
      <c r="A73" s="102" t="s">
        <v>1710</v>
      </c>
      <c r="B73" s="102"/>
      <c r="C73" s="102"/>
      <c r="D73" s="102"/>
      <c r="E73" s="102"/>
      <c r="F73" s="103" t="s">
        <v>1705</v>
      </c>
      <c r="G73" s="103"/>
      <c r="H73" s="103" t="s">
        <v>1706</v>
      </c>
      <c r="I73" s="103"/>
    </row>
    <row r="74" spans="1:9" x14ac:dyDescent="0.25">
      <c r="A74" s="15" t="s">
        <v>1700</v>
      </c>
      <c r="B74" s="15" t="s">
        <v>1711</v>
      </c>
      <c r="C74" s="15" t="s">
        <v>1702</v>
      </c>
      <c r="D74" s="15" t="s">
        <v>103</v>
      </c>
      <c r="E74" s="15" t="s">
        <v>1704</v>
      </c>
      <c r="F74" s="16" t="s">
        <v>1712</v>
      </c>
      <c r="G74" s="16" t="s">
        <v>1713</v>
      </c>
      <c r="H74" s="16" t="s">
        <v>1712</v>
      </c>
      <c r="I74" s="16" t="s">
        <v>1713</v>
      </c>
    </row>
    <row r="75" spans="1:9" x14ac:dyDescent="0.25">
      <c r="A75" s="15">
        <v>1</v>
      </c>
      <c r="B75" s="17" t="s">
        <v>1714</v>
      </c>
      <c r="C75" s="15" t="s">
        <v>1715</v>
      </c>
      <c r="D75" s="15" t="s">
        <v>1132</v>
      </c>
      <c r="E75" s="18">
        <v>4</v>
      </c>
      <c r="F75" s="19">
        <f>US_</f>
        <v>1250</v>
      </c>
      <c r="G75" s="19">
        <f>ROUND(E75*F75,2)</f>
        <v>5000</v>
      </c>
      <c r="H75" s="13">
        <f>F75*(1+$I$7)</f>
        <v>1573.0416243137254</v>
      </c>
      <c r="I75" s="20">
        <f>ROUND(H75*E75,2)</f>
        <v>6292.17</v>
      </c>
    </row>
    <row r="76" spans="1:9" x14ac:dyDescent="0.25">
      <c r="A76" s="21">
        <v>2</v>
      </c>
      <c r="B76" s="70" t="s">
        <v>1769</v>
      </c>
      <c r="C76" s="69" t="s">
        <v>1768</v>
      </c>
      <c r="D76" s="21" t="s">
        <v>1132</v>
      </c>
      <c r="E76" s="22">
        <v>8.8000000000000007</v>
      </c>
      <c r="F76" s="19">
        <v>70</v>
      </c>
      <c r="G76" s="19">
        <f>ROUND(E76*F76,2)</f>
        <v>616</v>
      </c>
      <c r="H76" s="13">
        <f>F76*(1+$I$7)</f>
        <v>88.090330961568625</v>
      </c>
      <c r="I76" s="20">
        <f>ROUND(H76*E76,2)</f>
        <v>775.19</v>
      </c>
    </row>
    <row r="77" spans="1:9" x14ac:dyDescent="0.25">
      <c r="A77" s="104" t="s">
        <v>1716</v>
      </c>
      <c r="B77" s="104"/>
      <c r="C77" s="104"/>
      <c r="D77" s="104"/>
      <c r="E77" s="104"/>
      <c r="F77" s="105">
        <f>SUM(G75:G76)</f>
        <v>5616</v>
      </c>
      <c r="G77" s="105"/>
      <c r="H77" s="101">
        <f>SUM(I75:I76)</f>
        <v>7067.3600000000006</v>
      </c>
      <c r="I77" s="101"/>
    </row>
    <row r="78" spans="1:9" x14ac:dyDescent="0.25">
      <c r="A78" s="106" t="s">
        <v>1717</v>
      </c>
      <c r="B78" s="106"/>
      <c r="C78" s="106"/>
      <c r="D78" s="106"/>
      <c r="E78" s="106"/>
      <c r="F78" s="103" t="s">
        <v>1705</v>
      </c>
      <c r="G78" s="103"/>
      <c r="H78" s="103" t="s">
        <v>1706</v>
      </c>
      <c r="I78" s="103"/>
    </row>
    <row r="79" spans="1:9" x14ac:dyDescent="0.25">
      <c r="A79" s="106" t="s">
        <v>1709</v>
      </c>
      <c r="B79" s="106"/>
      <c r="C79" s="106"/>
      <c r="D79" s="106"/>
      <c r="E79" s="106"/>
      <c r="F79" s="107">
        <f>ROUND(F72,2)</f>
        <v>17696</v>
      </c>
      <c r="G79" s="107"/>
      <c r="H79" s="101">
        <f>ROUND(H72,2)</f>
        <v>22269.15</v>
      </c>
      <c r="I79" s="101"/>
    </row>
    <row r="80" spans="1:9" x14ac:dyDescent="0.25">
      <c r="A80" s="106" t="s">
        <v>1716</v>
      </c>
      <c r="B80" s="106"/>
      <c r="C80" s="106"/>
      <c r="D80" s="106"/>
      <c r="E80" s="106"/>
      <c r="F80" s="107">
        <f>ROUND(F77,2)</f>
        <v>5616</v>
      </c>
      <c r="G80" s="107"/>
      <c r="H80" s="101">
        <f>H77</f>
        <v>7067.3600000000006</v>
      </c>
      <c r="I80" s="101"/>
    </row>
    <row r="81" spans="1:9" x14ac:dyDescent="0.25">
      <c r="A81" s="109" t="s">
        <v>1718</v>
      </c>
      <c r="B81" s="106"/>
      <c r="C81" s="106"/>
      <c r="D81" s="106"/>
      <c r="E81" s="106"/>
      <c r="F81" s="107">
        <f>ROUND(SUM(F79:G80),2)</f>
        <v>23312</v>
      </c>
      <c r="G81" s="107"/>
      <c r="H81" s="101">
        <f>SUM(H79:I80)</f>
        <v>29336.510000000002</v>
      </c>
      <c r="I81" s="101"/>
    </row>
    <row r="82" spans="1:9" x14ac:dyDescent="0.25">
      <c r="A82" s="23"/>
      <c r="B82" s="24"/>
      <c r="D82" s="25"/>
      <c r="H82" s="26"/>
    </row>
    <row r="83" spans="1:9" x14ac:dyDescent="0.25">
      <c r="A83" s="23"/>
      <c r="B83" s="24"/>
      <c r="D83" s="25"/>
      <c r="H83" s="26"/>
    </row>
    <row r="84" spans="1:9" x14ac:dyDescent="0.25">
      <c r="A84" s="108"/>
      <c r="B84" s="108"/>
      <c r="C84" s="108"/>
      <c r="D84" s="108"/>
      <c r="E84" s="108"/>
      <c r="F84" s="108"/>
      <c r="G84" s="108"/>
      <c r="H84" s="108"/>
      <c r="I84" s="108"/>
    </row>
    <row r="85" spans="1:9" x14ac:dyDescent="0.25">
      <c r="A85" s="23"/>
      <c r="B85" s="23"/>
      <c r="C85" s="23"/>
      <c r="D85" s="23"/>
      <c r="E85" s="23"/>
      <c r="F85" s="23"/>
      <c r="G85" s="23"/>
      <c r="H85" s="23"/>
      <c r="I85" s="23"/>
    </row>
    <row r="86" spans="1:9" x14ac:dyDescent="0.25">
      <c r="A86" s="108"/>
      <c r="B86" s="108"/>
      <c r="C86" s="108"/>
      <c r="D86" s="108"/>
      <c r="E86" s="108"/>
      <c r="F86" s="108"/>
      <c r="G86" s="108"/>
      <c r="H86" s="26"/>
    </row>
    <row r="87" spans="1:9" x14ac:dyDescent="0.25">
      <c r="A87" s="108"/>
      <c r="B87" s="108"/>
      <c r="C87" s="108"/>
      <c r="D87" s="108"/>
      <c r="E87" s="108"/>
      <c r="F87" s="108"/>
      <c r="G87" s="108"/>
      <c r="H87" s="108"/>
      <c r="I87" s="108"/>
    </row>
    <row r="88" spans="1:9" x14ac:dyDescent="0.25">
      <c r="A88" s="108"/>
      <c r="B88" s="108"/>
      <c r="C88" s="108"/>
      <c r="D88" s="108"/>
      <c r="E88" s="108"/>
      <c r="F88" s="108"/>
      <c r="G88" s="108"/>
      <c r="H88" s="108"/>
      <c r="I88" s="108"/>
    </row>
    <row r="89" spans="1:9" x14ac:dyDescent="0.25">
      <c r="A89" s="108"/>
      <c r="B89" s="108"/>
      <c r="C89" s="108"/>
      <c r="D89" s="108"/>
      <c r="E89" s="108"/>
      <c r="F89" s="108"/>
      <c r="G89" s="108"/>
      <c r="H89" s="108"/>
      <c r="I89" s="108"/>
    </row>
  </sheetData>
  <mergeCells count="41">
    <mergeCell ref="A88:I88"/>
    <mergeCell ref="A89:I89"/>
    <mergeCell ref="A81:E81"/>
    <mergeCell ref="F81:G81"/>
    <mergeCell ref="H81:I81"/>
    <mergeCell ref="A84:I84"/>
    <mergeCell ref="A86:G86"/>
    <mergeCell ref="A87:I87"/>
    <mergeCell ref="A79:E79"/>
    <mergeCell ref="F79:G79"/>
    <mergeCell ref="H79:I79"/>
    <mergeCell ref="A80:E80"/>
    <mergeCell ref="F80:G80"/>
    <mergeCell ref="H80:I80"/>
    <mergeCell ref="A77:E77"/>
    <mergeCell ref="F77:G77"/>
    <mergeCell ref="H77:I77"/>
    <mergeCell ref="A78:E78"/>
    <mergeCell ref="F78:G78"/>
    <mergeCell ref="H78:I78"/>
    <mergeCell ref="A72:E72"/>
    <mergeCell ref="F72:G72"/>
    <mergeCell ref="H72:I72"/>
    <mergeCell ref="A73:E73"/>
    <mergeCell ref="F73:G73"/>
    <mergeCell ref="H73:I73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1:I1"/>
    <mergeCell ref="A2:I2"/>
    <mergeCell ref="A4:I4"/>
    <mergeCell ref="A5:I5"/>
    <mergeCell ref="A6:I6"/>
    <mergeCell ref="G3:I3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G24:I34 C24:D34 G35:I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13" t="s">
        <v>1780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5">
      <c r="A2" s="114" t="s">
        <v>1781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 thickBot="1" x14ac:dyDescent="0.3">
      <c r="A3" s="72"/>
      <c r="B3" s="72"/>
      <c r="C3" s="72"/>
      <c r="D3" s="72"/>
      <c r="E3" s="72"/>
      <c r="F3" s="72"/>
      <c r="G3" s="114" t="s">
        <v>1778</v>
      </c>
      <c r="H3" s="114"/>
      <c r="I3" s="114"/>
      <c r="J3" s="114"/>
    </row>
    <row r="4" spans="1:10" ht="20.25" x14ac:dyDescent="0.3">
      <c r="A4" s="115" t="s">
        <v>1723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21" customHeight="1" thickBot="1" x14ac:dyDescent="0.35">
      <c r="A5" s="118" t="s">
        <v>1724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 x14ac:dyDescent="0.25">
      <c r="A7" s="121" t="str">
        <f>'ITEM 13'!A5:I5</f>
        <v>OBJETO: PROJETO DE MODIFICAÇÃO E EXTENSÃO DE RDU PARA ILUMINAÇÃO PÚBLICA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5.75" customHeight="1" thickBot="1" x14ac:dyDescent="0.3">
      <c r="A8" s="110" t="str">
        <f>'ITEM 13'!A6:I6</f>
        <v>LOCAL: RUA JATOBÁ – BAIRRO PALMEIRAS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 x14ac:dyDescent="0.25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 x14ac:dyDescent="0.3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 x14ac:dyDescent="0.3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 x14ac:dyDescent="0.3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 x14ac:dyDescent="0.3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 x14ac:dyDescent="0.3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 x14ac:dyDescent="0.3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 x14ac:dyDescent="0.3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 x14ac:dyDescent="0.25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 x14ac:dyDescent="0.25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 x14ac:dyDescent="0.3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 x14ac:dyDescent="0.3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 x14ac:dyDescent="0.25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 x14ac:dyDescent="0.3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 x14ac:dyDescent="0.3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 x14ac:dyDescent="0.25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 x14ac:dyDescent="0.25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 x14ac:dyDescent="0.3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 x14ac:dyDescent="0.3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 x14ac:dyDescent="0.25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 x14ac:dyDescent="0.25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 x14ac:dyDescent="0.25">
      <c r="A32" s="124" t="s">
        <v>1737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25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 x14ac:dyDescent="0.3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 x14ac:dyDescent="0.3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 x14ac:dyDescent="0.3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 x14ac:dyDescent="0.3">
      <c r="A37" s="127" t="s">
        <v>1741</v>
      </c>
      <c r="B37" s="128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 x14ac:dyDescent="0.25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 x14ac:dyDescent="0.25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 x14ac:dyDescent="0.3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 x14ac:dyDescent="0.25">
      <c r="A41" s="33"/>
      <c r="B41" s="129" t="s">
        <v>1743</v>
      </c>
      <c r="C41" s="130"/>
      <c r="D41" s="133">
        <f>(J13*J14*J15)/J17-1</f>
        <v>0.25843329945098037</v>
      </c>
      <c r="E41" s="134"/>
      <c r="F41" s="137" t="s">
        <v>1744</v>
      </c>
      <c r="G41" s="138"/>
      <c r="H41" s="49" t="s">
        <v>1745</v>
      </c>
      <c r="I41" s="49" t="s">
        <v>1746</v>
      </c>
      <c r="J41" s="50" t="s">
        <v>1747</v>
      </c>
    </row>
    <row r="42" spans="1:10" ht="15.75" thickBot="1" x14ac:dyDescent="0.3">
      <c r="A42" s="33"/>
      <c r="B42" s="131"/>
      <c r="C42" s="132"/>
      <c r="D42" s="135"/>
      <c r="E42" s="136"/>
      <c r="F42" s="139"/>
      <c r="G42" s="140"/>
      <c r="H42" s="51">
        <v>0.24</v>
      </c>
      <c r="I42" s="51">
        <v>0.25840000000000002</v>
      </c>
      <c r="J42" s="52">
        <v>0.27860000000000001</v>
      </c>
    </row>
    <row r="43" spans="1:10" x14ac:dyDescent="0.25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 x14ac:dyDescent="0.25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 x14ac:dyDescent="0.3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 x14ac:dyDescent="0.25">
      <c r="A46" s="33"/>
      <c r="B46" s="129" t="s">
        <v>1743</v>
      </c>
      <c r="C46" s="130"/>
      <c r="D46" s="133">
        <f>(J13*J14*J15/J16)-1</f>
        <v>0.32146000893934357</v>
      </c>
      <c r="E46" s="134"/>
      <c r="F46" s="29"/>
      <c r="G46" s="29"/>
      <c r="H46" s="29"/>
      <c r="I46" s="29"/>
      <c r="J46" s="34"/>
    </row>
    <row r="47" spans="1:10" ht="15.75" thickBot="1" x14ac:dyDescent="0.3">
      <c r="A47" s="33"/>
      <c r="B47" s="131"/>
      <c r="C47" s="132"/>
      <c r="D47" s="135"/>
      <c r="E47" s="136"/>
      <c r="F47" s="29"/>
      <c r="G47" s="29"/>
      <c r="H47" s="29"/>
      <c r="I47" s="29"/>
      <c r="J47" s="34"/>
    </row>
    <row r="48" spans="1:10" ht="15.75" thickBot="1" x14ac:dyDescent="0.3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 x14ac:dyDescent="0.2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5">
      <c r="A51" s="141" t="s">
        <v>1750</v>
      </c>
      <c r="B51" s="142"/>
      <c r="C51" s="142"/>
      <c r="D51" s="142"/>
      <c r="E51" s="142"/>
      <c r="F51" s="142"/>
      <c r="G51" s="142"/>
      <c r="H51" s="142"/>
      <c r="I51" s="142"/>
      <c r="J51" s="143"/>
    </row>
    <row r="52" spans="1:10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3"/>
    </row>
    <row r="53" spans="1:10" ht="15.75" thickBot="1" x14ac:dyDescent="0.3">
      <c r="A53" s="144"/>
      <c r="B53" s="145"/>
      <c r="C53" s="145"/>
      <c r="D53" s="145"/>
      <c r="E53" s="145"/>
      <c r="F53" s="145"/>
      <c r="G53" s="145"/>
      <c r="H53" s="145"/>
      <c r="I53" s="145"/>
      <c r="J53" s="146"/>
    </row>
    <row r="54" spans="1:10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0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</row>
  </sheetData>
  <mergeCells count="18"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  <mergeCell ref="A8:J8"/>
    <mergeCell ref="A1:J1"/>
    <mergeCell ref="A2:J2"/>
    <mergeCell ref="A4:J4"/>
    <mergeCell ref="A5:J5"/>
    <mergeCell ref="A7:J7"/>
    <mergeCell ref="G3:J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2" sqref="A22:G22"/>
    </sheetView>
  </sheetViews>
  <sheetFormatPr defaultRowHeight="15" x14ac:dyDescent="0.2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 x14ac:dyDescent="0.25">
      <c r="A1" s="163" t="s">
        <v>1777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68" customFormat="1" ht="15.75" customHeight="1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68" customFormat="1" ht="23.25" customHeight="1" x14ac:dyDescent="0.25">
      <c r="A3" s="77" t="s">
        <v>1778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1" x14ac:dyDescent="0.35">
      <c r="A4" s="176" t="s">
        <v>1767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x14ac:dyDescent="0.25">
      <c r="A5" s="67" t="s">
        <v>1720</v>
      </c>
      <c r="B5" s="147" t="s">
        <v>1782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x14ac:dyDescent="0.25">
      <c r="A6" s="67" t="s">
        <v>1721</v>
      </c>
      <c r="B6" s="148" t="s">
        <v>1784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5.75" x14ac:dyDescent="0.25">
      <c r="A7" s="66" t="s">
        <v>1722</v>
      </c>
      <c r="B7" s="150"/>
      <c r="C7" s="151"/>
      <c r="D7" s="151"/>
      <c r="E7" s="151"/>
      <c r="F7" s="151"/>
      <c r="G7" s="152"/>
      <c r="H7" s="153" t="s">
        <v>1766</v>
      </c>
      <c r="I7" s="153"/>
      <c r="J7" s="153"/>
      <c r="K7" s="153"/>
      <c r="L7" s="153"/>
      <c r="M7" s="154">
        <f>'[1]PLAN. BDI.IMP'!D42</f>
        <v>0.25843329945098037</v>
      </c>
      <c r="N7" s="155"/>
      <c r="O7" s="156"/>
      <c r="P7" s="164">
        <v>44361</v>
      </c>
      <c r="Q7" s="165"/>
      <c r="R7" s="165"/>
    </row>
    <row r="8" spans="1:18" x14ac:dyDescent="0.2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</row>
    <row r="9" spans="1:18" x14ac:dyDescent="0.25">
      <c r="A9" s="175" t="s">
        <v>1700</v>
      </c>
      <c r="B9" s="173" t="s">
        <v>1765</v>
      </c>
      <c r="C9" s="173"/>
      <c r="D9" s="173"/>
      <c r="E9" s="173"/>
      <c r="F9" s="173"/>
      <c r="G9" s="173"/>
      <c r="H9" s="174" t="s">
        <v>1764</v>
      </c>
      <c r="I9" s="175" t="s">
        <v>1763</v>
      </c>
      <c r="J9" s="165" t="s">
        <v>1762</v>
      </c>
      <c r="K9" s="165"/>
      <c r="L9" s="165"/>
      <c r="M9" s="165"/>
      <c r="N9" s="165"/>
      <c r="O9" s="165"/>
      <c r="P9" s="165"/>
      <c r="Q9" s="165"/>
      <c r="R9" s="165"/>
    </row>
    <row r="10" spans="1:18" x14ac:dyDescent="0.25">
      <c r="A10" s="175"/>
      <c r="B10" s="173"/>
      <c r="C10" s="173"/>
      <c r="D10" s="173"/>
      <c r="E10" s="173"/>
      <c r="F10" s="173"/>
      <c r="G10" s="173"/>
      <c r="H10" s="174"/>
      <c r="I10" s="175"/>
      <c r="J10" s="165" t="s">
        <v>1761</v>
      </c>
      <c r="K10" s="165"/>
      <c r="L10" s="165"/>
      <c r="M10" s="165" t="s">
        <v>1760</v>
      </c>
      <c r="N10" s="165"/>
      <c r="O10" s="165"/>
      <c r="P10" s="165" t="s">
        <v>1759</v>
      </c>
      <c r="Q10" s="165"/>
      <c r="R10" s="165"/>
    </row>
    <row r="11" spans="1:18" x14ac:dyDescent="0.25">
      <c r="A11" s="175"/>
      <c r="B11" s="173"/>
      <c r="C11" s="173"/>
      <c r="D11" s="173"/>
      <c r="E11" s="173"/>
      <c r="F11" s="173"/>
      <c r="G11" s="173"/>
      <c r="H11" s="174"/>
      <c r="I11" s="175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 x14ac:dyDescent="0.25">
      <c r="A12" s="10">
        <v>1</v>
      </c>
      <c r="B12" s="157" t="str">
        <f>B6</f>
        <v>RUA JATOBÁ – BAIRRO PALMEIRAS</v>
      </c>
      <c r="C12" s="158"/>
      <c r="D12" s="158"/>
      <c r="E12" s="158"/>
      <c r="F12" s="158"/>
      <c r="G12" s="159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 x14ac:dyDescent="0.25">
      <c r="A13" s="10" t="s">
        <v>1755</v>
      </c>
      <c r="B13" s="160" t="s">
        <v>1753</v>
      </c>
      <c r="C13" s="161"/>
      <c r="D13" s="161"/>
      <c r="E13" s="161"/>
      <c r="F13" s="161"/>
      <c r="G13" s="162"/>
      <c r="H13" s="13">
        <f>t1_</f>
        <v>22269.15</v>
      </c>
      <c r="I13" s="59">
        <f>H13/$H$16</f>
        <v>0.75909336182115728</v>
      </c>
      <c r="J13" s="59">
        <v>0.15</v>
      </c>
      <c r="K13" s="58">
        <f>J13*H13</f>
        <v>3340.3724999999999</v>
      </c>
      <c r="L13" s="57">
        <f>J13</f>
        <v>0.15</v>
      </c>
      <c r="M13" s="59">
        <v>0.35</v>
      </c>
      <c r="N13" s="58">
        <f>M13*H13</f>
        <v>7794.2025000000003</v>
      </c>
      <c r="O13" s="57">
        <f>L13+M13</f>
        <v>0.5</v>
      </c>
      <c r="P13" s="59">
        <v>0.5</v>
      </c>
      <c r="Q13" s="58">
        <f>P13*H13</f>
        <v>11134.575000000001</v>
      </c>
      <c r="R13" s="57">
        <f>O13+P13</f>
        <v>1</v>
      </c>
    </row>
    <row r="14" spans="1:18" ht="15" customHeight="1" x14ac:dyDescent="0.25">
      <c r="A14" s="10" t="s">
        <v>1754</v>
      </c>
      <c r="B14" s="160" t="s">
        <v>1752</v>
      </c>
      <c r="C14" s="161"/>
      <c r="D14" s="161"/>
      <c r="E14" s="161"/>
      <c r="F14" s="161"/>
      <c r="G14" s="162"/>
      <c r="H14" s="13">
        <f>t2_</f>
        <v>7067.3600000000006</v>
      </c>
      <c r="I14" s="59">
        <f>H14/$H$16</f>
        <v>0.24090663817884267</v>
      </c>
      <c r="J14" s="59">
        <v>0.15</v>
      </c>
      <c r="K14" s="58">
        <f>J14*H14</f>
        <v>1060.104</v>
      </c>
      <c r="L14" s="57">
        <f>J14</f>
        <v>0.15</v>
      </c>
      <c r="M14" s="59">
        <v>0.35</v>
      </c>
      <c r="N14" s="58">
        <f>M14*H14</f>
        <v>2473.576</v>
      </c>
      <c r="O14" s="57">
        <f>L14+M14</f>
        <v>0.5</v>
      </c>
      <c r="P14" s="59">
        <v>0.5</v>
      </c>
      <c r="Q14" s="58">
        <f>P14*H14</f>
        <v>3533.6800000000003</v>
      </c>
      <c r="R14" s="57">
        <f>O14+P14</f>
        <v>1</v>
      </c>
    </row>
    <row r="15" spans="1:18" x14ac:dyDescent="0.25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 x14ac:dyDescent="0.25">
      <c r="A16" s="10"/>
      <c r="B16" s="167" t="s">
        <v>1751</v>
      </c>
      <c r="C16" s="168"/>
      <c r="D16" s="168"/>
      <c r="E16" s="168"/>
      <c r="F16" s="168"/>
      <c r="G16" s="169"/>
      <c r="H16" s="13">
        <f>SUM(H13,H14)</f>
        <v>29336.510000000002</v>
      </c>
      <c r="I16" s="59">
        <f>H16/$H$16</f>
        <v>1</v>
      </c>
      <c r="J16" s="59">
        <v>0.15</v>
      </c>
      <c r="K16" s="58">
        <f>J16*H16</f>
        <v>4400.4764999999998</v>
      </c>
      <c r="L16" s="57">
        <f>J16</f>
        <v>0.15</v>
      </c>
      <c r="M16" s="59">
        <v>0.35</v>
      </c>
      <c r="N16" s="58">
        <f>M16*H16</f>
        <v>10267.7785</v>
      </c>
      <c r="O16" s="57">
        <f>L16+M16</f>
        <v>0.5</v>
      </c>
      <c r="P16" s="59">
        <v>0.5</v>
      </c>
      <c r="Q16" s="58">
        <f>P16*H16</f>
        <v>14668.255000000001</v>
      </c>
      <c r="R16" s="57">
        <f>O16+P16</f>
        <v>1</v>
      </c>
    </row>
    <row r="17" spans="1:18" x14ac:dyDescent="0.25">
      <c r="L17" s="56"/>
    </row>
    <row r="18" spans="1:18" x14ac:dyDescent="0.25">
      <c r="B18" s="166"/>
      <c r="C18" s="166"/>
      <c r="D18" s="166"/>
      <c r="E18" s="166"/>
      <c r="F18" s="166"/>
      <c r="G18" s="166"/>
      <c r="H18" s="166"/>
    </row>
    <row r="20" spans="1:18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08"/>
      <c r="B22" s="108"/>
      <c r="C22" s="108"/>
      <c r="D22" s="108"/>
      <c r="E22" s="108"/>
      <c r="F22" s="108"/>
      <c r="G22" s="108"/>
      <c r="I22"/>
    </row>
    <row r="23" spans="1:18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</sheetData>
  <mergeCells count="29"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  <mergeCell ref="A25:R25"/>
    <mergeCell ref="B12:G12"/>
    <mergeCell ref="A22:G22"/>
    <mergeCell ref="A20:R20"/>
    <mergeCell ref="A23:R23"/>
    <mergeCell ref="A24:R24"/>
    <mergeCell ref="B13:G13"/>
    <mergeCell ref="B14:G14"/>
    <mergeCell ref="B5:R5"/>
    <mergeCell ref="B6:R6"/>
    <mergeCell ref="B7:G7"/>
    <mergeCell ref="H7:L7"/>
    <mergeCell ref="M7:O7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13</vt:lpstr>
      <vt:lpstr>BDI</vt:lpstr>
      <vt:lpstr>CRONOGRAMA</vt:lpstr>
      <vt:lpstr>CRONOGRAMA!Area_de_impressao</vt:lpstr>
      <vt:lpstr>'ITEM 13'!Area_de_impressao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2021-06-26T02:24:28Z</dcterms:modified>
</cp:coreProperties>
</file>