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6\"/>
    </mc:Choice>
  </mc:AlternateContent>
  <xr:revisionPtr revIDLastSave="0" documentId="13_ncr:1_{FD9A4ED5-F6B4-45FD-908E-1832F9AECFBB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6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6'!$A$1:$J$53</definedName>
    <definedName name="desconto">#REF!</definedName>
    <definedName name="SB1_">'ITEM 6'!$F$45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6'!$H$45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6'!$H$36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6'!$H$41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39" i="3" l="1"/>
  <c r="G39" i="3" s="1"/>
  <c r="G40" i="3"/>
  <c r="B12" i="14"/>
  <c r="A8" i="13"/>
  <c r="A7" i="13"/>
  <c r="F24" i="3"/>
  <c r="F25" i="3"/>
  <c r="G25" i="3" s="1"/>
  <c r="F26" i="3"/>
  <c r="G26" i="3" s="1"/>
  <c r="F27" i="3"/>
  <c r="F28" i="3"/>
  <c r="F29" i="3"/>
  <c r="G29" i="3" s="1"/>
  <c r="F30" i="3"/>
  <c r="G30" i="3" s="1"/>
  <c r="F31" i="3"/>
  <c r="F32" i="3"/>
  <c r="F33" i="3"/>
  <c r="F34" i="3"/>
  <c r="G34" i="3" s="1"/>
  <c r="F35" i="3"/>
  <c r="D24" i="3"/>
  <c r="D25" i="3"/>
  <c r="D26" i="3"/>
  <c r="D27" i="3"/>
  <c r="D28" i="3"/>
  <c r="D29" i="3"/>
  <c r="D30" i="3"/>
  <c r="D31" i="3"/>
  <c r="D32" i="3"/>
  <c r="D33" i="3"/>
  <c r="D34" i="3"/>
  <c r="D35" i="3"/>
  <c r="C24" i="3"/>
  <c r="C25" i="3"/>
  <c r="C26" i="3"/>
  <c r="C27" i="3"/>
  <c r="C28" i="3"/>
  <c r="C29" i="3"/>
  <c r="C30" i="3"/>
  <c r="C31" i="3"/>
  <c r="C32" i="3"/>
  <c r="C33" i="3"/>
  <c r="C34" i="3"/>
  <c r="C35" i="3"/>
  <c r="F41" i="3" l="1"/>
  <c r="F44" i="3" s="1"/>
  <c r="G33" i="3"/>
  <c r="G32" i="3"/>
  <c r="G28" i="3"/>
  <c r="G24" i="3"/>
  <c r="G35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F12" i="3"/>
  <c r="F13" i="3"/>
  <c r="F14" i="3"/>
  <c r="F15" i="3"/>
  <c r="F16" i="3"/>
  <c r="F17" i="3"/>
  <c r="F18" i="3"/>
  <c r="F19" i="3"/>
  <c r="F20" i="3"/>
  <c r="F21" i="3"/>
  <c r="F22" i="3"/>
  <c r="F23" i="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F11" i="3"/>
  <c r="G11" i="3" s="1"/>
  <c r="D11" i="3"/>
  <c r="C11" i="3"/>
  <c r="I7" i="3"/>
  <c r="H39" i="3" l="1"/>
  <c r="I39" i="3" s="1"/>
  <c r="H40" i="3"/>
  <c r="I40" i="3" s="1"/>
  <c r="H34" i="3"/>
  <c r="I34" i="3" s="1"/>
  <c r="H30" i="3"/>
  <c r="I30" i="3" s="1"/>
  <c r="H26" i="3"/>
  <c r="I26" i="3" s="1"/>
  <c r="H25" i="3"/>
  <c r="I25" i="3" s="1"/>
  <c r="H31" i="3"/>
  <c r="I31" i="3" s="1"/>
  <c r="H35" i="3"/>
  <c r="I35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36" i="3" l="1"/>
  <c r="F43" i="3" s="1"/>
  <c r="F45" i="3" s="1"/>
  <c r="H41" i="3"/>
  <c r="H44" i="3" s="1"/>
  <c r="H36" i="3"/>
  <c r="H43" i="3" s="1"/>
  <c r="H13" i="14" l="1"/>
  <c r="K13" i="14" s="1"/>
  <c r="H14" i="14"/>
  <c r="Q14" i="14" s="1"/>
  <c r="H45" i="3"/>
  <c r="Q13" i="14" l="1"/>
  <c r="N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<sst xmlns="http://schemas.openxmlformats.org/spreadsheetml/2006/main" count="3418" uniqueCount="1785">
  <si>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</si>
  <si>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</si>
  <si>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</si>
  <si>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</si>
  <si>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</si>
  <si>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</si>
  <si>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</si>
  <si>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</si>
  <si>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</si>
  <si>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</si>
  <si>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</si>
  <si>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</si>
  <si>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</si>
  <si>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</si>
  <si>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</si>
  <si>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</si>
  <si>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</si>
  <si>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</si>
  <si>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</si>
  <si>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</si>
  <si>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</si>
  <si>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</si>
  <si>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</si>
  <si>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</si>
  <si>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</si>
  <si>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</si>
  <si>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</si>
  <si>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</si>
  <si>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</si>
  <si>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</si>
  <si>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</si>
  <si>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</si>
  <si>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</si>
  <si>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</si>
  <si>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</si>
  <si>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</si>
  <si>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</si>
  <si>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</si>
  <si>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</si>
  <si>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</si>
  <si>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</si>
  <si>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</si>
  <si>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</si>
  <si>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</si>
  <si>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</si>
  <si>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</si>
  <si>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</si>
  <si>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</si>
  <si>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</si>
  <si>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</si>
  <si>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</si>
  <si>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</si>
  <si>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</si>
  <si>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</si>
  <si>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</si>
  <si>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</si>
  <si>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</si>
  <si>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</si>
  <si>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</si>
  <si>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</si>
  <si>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</si>
  <si>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</si>
  <si>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</si>
  <si>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</si>
  <si>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</si>
  <si>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</si>
  <si>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</si>
  <si>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</si>
  <si>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</si>
  <si>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</si>
  <si>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</si>
  <si>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</si>
  <si>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</si>
  <si>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</si>
  <si>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</si>
  <si>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</si>
  <si>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</si>
  <si>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</si>
  <si>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</si>
  <si>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</si>
  <si>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</si>
  <si>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</si>
  <si>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</si>
  <si>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</si>
  <si>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</si>
  <si>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</si>
  <si>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</si>
  <si>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</si>
  <si>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</si>
  <si>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</si>
  <si>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</si>
  <si>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</si>
  <si>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</si>
  <si>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</si>
  <si>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</si>
  <si>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</si>
  <si>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</si>
  <si>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</si>
  <si>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</si>
  <si>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</si>
  <si>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</si>
  <si>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</si>
  <si>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</si>
  <si>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</si>
  <si>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</si>
  <si>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</si>
  <si>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</si>
  <si>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</si>
  <si>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</si>
  <si>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</si>
  <si>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</si>
  <si>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</si>
  <si>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</si>
  <si>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</si>
  <si>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</si>
  <si>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</si>
  <si>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</si>
  <si>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</si>
  <si>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</si>
  <si>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</si>
  <si>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</si>
  <si>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</si>
  <si>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</si>
  <si>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</si>
  <si>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</si>
  <si>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</si>
  <si>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</si>
  <si>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</si>
  <si>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</si>
  <si>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</si>
  <si>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</si>
  <si>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</si>
  <si>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</si>
  <si>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</si>
  <si>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</si>
  <si>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</si>
  <si>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</si>
  <si>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</si>
  <si>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</si>
  <si>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</si>
  <si>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</si>
  <si>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</si>
  <si>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</si>
  <si>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</si>
  <si>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</si>
  <si>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</si>
  <si>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</si>
  <si>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</si>
  <si>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</si>
  <si>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</si>
  <si>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</si>
  <si>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</si>
  <si>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</si>
  <si>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</si>
  <si>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</si>
  <si>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</si>
  <si>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</si>
  <si>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</si>
  <si>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</si>
  <si>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</si>
  <si>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</si>
  <si>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</si>
  <si>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</si>
  <si>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</si>
  <si>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</si>
  <si>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</si>
  <si>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</si>
  <si>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</si>
  <si>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</si>
  <si>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</si>
  <si>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</si>
  <si>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</si>
  <si>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</si>
  <si>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</si>
  <si>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</si>
  <si>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</si>
  <si>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</si>
  <si>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</si>
  <si>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</si>
  <si>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</si>
  <si>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</si>
  <si>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</si>
  <si>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</si>
  <si>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</si>
  <si>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</si>
  <si>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</si>
  <si>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</si>
  <si>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</si>
  <si>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</si>
  <si>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</si>
  <si>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</si>
  <si>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</si>
  <si>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</si>
  <si>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</si>
  <si>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</si>
  <si>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</si>
  <si>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</si>
  <si>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</si>
  <si>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</si>
  <si>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</si>
  <si>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</si>
  <si>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</si>
  <si>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</si>
  <si>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</si>
  <si>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</si>
  <si>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</si>
  <si>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</si>
  <si>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</si>
  <si>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</si>
  <si>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</si>
  <si>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</si>
  <si>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</si>
  <si>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</si>
  <si>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</si>
  <si>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</si>
  <si>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</si>
  <si>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</si>
  <si>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</si>
  <si>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</si>
  <si>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</si>
  <si>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</si>
  <si>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</si>
  <si>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</si>
  <si>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</si>
  <si>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</si>
  <si>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</si>
  <si>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</si>
  <si>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</si>
  <si>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</si>
  <si>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</si>
  <si>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</si>
  <si>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</si>
  <si>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</si>
  <si>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</si>
  <si>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</si>
  <si>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</si>
  <si>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</si>
  <si>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</si>
  <si>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</si>
  <si>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</si>
  <si>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</si>
  <si>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</si>
  <si>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</si>
  <si>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</si>
  <si>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</si>
  <si>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</si>
  <si>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</si>
  <si>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</si>
  <si>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</si>
  <si>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</si>
  <si>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</si>
  <si>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</si>
  <si>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</si>
  <si>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</si>
  <si>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</si>
  <si>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</si>
  <si>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</si>
  <si>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</si>
  <si>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</si>
  <si>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</si>
  <si>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</si>
  <si>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</si>
  <si>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</si>
  <si>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</si>
  <si>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</si>
  <si>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</si>
  <si>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</si>
  <si>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</si>
  <si>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</si>
  <si>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</si>
  <si>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</si>
  <si>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</si>
  <si>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</si>
  <si>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</si>
  <si>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</si>
  <si>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</si>
  <si>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</si>
  <si>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</si>
  <si>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</si>
  <si>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</si>
  <si>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</si>
  <si>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</si>
  <si>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</si>
  <si>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</si>
  <si>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</si>
  <si>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</si>
  <si>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</si>
  <si>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</si>
  <si>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</si>
  <si>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</si>
  <si>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</si>
  <si>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</si>
  <si>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</si>
  <si>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</si>
  <si>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</si>
  <si>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</si>
  <si>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</si>
  <si>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</si>
  <si>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</si>
  <si>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</si>
  <si>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</si>
  <si>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</si>
  <si>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</si>
  <si>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</si>
  <si>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</si>
  <si>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</si>
  <si>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</si>
  <si>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</si>
  <si>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</si>
  <si>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</si>
  <si>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</si>
  <si>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</si>
  <si>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</si>
  <si>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</si>
  <si>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</si>
  <si>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</si>
  <si>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</si>
  <si>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</si>
  <si>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</si>
  <si>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</si>
  <si>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</si>
  <si>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</si>
  <si>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</si>
  <si>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</si>
  <si>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</si>
  <si>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</si>
  <si>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</si>
  <si>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</si>
  <si>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</si>
  <si>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</si>
  <si>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</si>
  <si>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</si>
  <si>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</si>
  <si>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</si>
  <si>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</si>
  <si>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</si>
  <si>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</si>
  <si>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</si>
  <si>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</si>
  <si>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</si>
  <si>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</si>
  <si>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</si>
  <si>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</si>
  <si>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</si>
  <si>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</si>
  <si>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</si>
  <si>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</si>
  <si>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</si>
  <si>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</si>
  <si>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</si>
  <si>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</si>
  <si>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</si>
  <si>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</si>
  <si>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</si>
  <si>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</si>
  <si>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</si>
  <si>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</si>
  <si>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</si>
  <si>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</si>
  <si>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</si>
  <si>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</si>
  <si>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</si>
  <si>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</si>
  <si>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</si>
  <si>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</si>
  <si>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</si>
  <si>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</si>
  <si>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</si>
  <si>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</si>
  <si>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</si>
  <si>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</si>
  <si>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</si>
  <si>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</si>
  <si>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</si>
  <si>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</si>
  <si>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</si>
  <si>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</si>
  <si>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</si>
  <si>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</si>
  <si>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</si>
  <si>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</si>
  <si>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</si>
  <si>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</si>
  <si>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</si>
  <si>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</si>
  <si>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</si>
  <si>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</si>
  <si>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</si>
  <si>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</si>
  <si>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</si>
  <si>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</si>
  <si>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</si>
  <si>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</si>
  <si>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</si>
  <si>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</si>
  <si>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</si>
  <si>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</si>
  <si>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</si>
  <si>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</si>
  <si>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</si>
  <si>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</si>
  <si>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</si>
  <si>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</si>
  <si>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</si>
  <si>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</si>
  <si>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</si>
  <si>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</si>
  <si>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</si>
  <si>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</si>
  <si>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</si>
  <si>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</si>
  <si>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</si>
  <si>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</si>
  <si>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</si>
  <si>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</si>
  <si>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</si>
  <si>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</si>
  <si>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</si>
  <si>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</si>
  <si>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</si>
  <si>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</si>
  <si>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</si>
  <si>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</si>
  <si>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</si>
  <si>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</si>
  <si>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</si>
  <si>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</si>
  <si>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</si>
  <si>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</si>
  <si>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</si>
  <si>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</si>
  <si>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</si>
  <si>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</si>
  <si>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</si>
  <si>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</si>
  <si>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</si>
  <si>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</si>
  <si>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</si>
  <si>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</si>
  <si>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</si>
  <si>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</si>
  <si>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</si>
  <si>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</si>
  <si>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</si>
  <si>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</si>
  <si>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</si>
  <si>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</si>
  <si>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</si>
  <si>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</si>
  <si>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</si>
  <si>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</si>
  <si>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</si>
  <si>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</si>
  <si>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</si>
  <si>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</si>
  <si>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</si>
  <si>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</si>
  <si>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</si>
  <si>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</si>
  <si>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</si>
  <si>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</si>
  <si>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</si>
  <si>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</si>
  <si>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</si>
  <si>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</si>
  <si>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</si>
  <si>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</si>
  <si>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</si>
  <si>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</si>
  <si>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</si>
  <si>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</si>
  <si>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</si>
  <si>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</si>
  <si>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</si>
  <si>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</si>
  <si>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</si>
  <si>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</si>
  <si>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</si>
  <si>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</si>
  <si>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</si>
  <si>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</si>
  <si>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</si>
  <si>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</si>
  <si>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</si>
  <si>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</si>
  <si>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</si>
  <si>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</si>
  <si>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</si>
  <si>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</si>
  <si>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</si>
  <si>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</si>
  <si>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</si>
  <si>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</si>
  <si>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</si>
  <si>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</si>
  <si>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</si>
  <si>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</si>
  <si>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</si>
  <si>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</si>
  <si>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</si>
  <si>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</si>
  <si>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</si>
  <si>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</si>
  <si>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</si>
  <si>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</si>
  <si>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</si>
  <si>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</si>
  <si>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</si>
  <si>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</si>
  <si>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</si>
  <si>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</si>
  <si>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</si>
  <si>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</si>
  <si>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</si>
  <si>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</si>
  <si>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</si>
  <si>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</si>
  <si>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</si>
  <si>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</si>
  <si>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</si>
  <si>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</si>
  <si>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</si>
  <si>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</si>
  <si>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</si>
  <si>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</si>
  <si>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</si>
  <si>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</si>
  <si>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</si>
  <si>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</si>
  <si>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</si>
  <si>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</si>
  <si>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</si>
  <si>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</si>
  <si>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</si>
  <si>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</si>
  <si>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</si>
  <si>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</si>
  <si>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</si>
  <si>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</si>
  <si>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</si>
  <si>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</si>
  <si>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</si>
  <si>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</si>
  <si>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</si>
  <si>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</si>
  <si>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</si>
  <si>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</si>
  <si>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</si>
  <si>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</si>
  <si>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</si>
  <si>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</si>
  <si>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</si>
  <si>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</si>
  <si>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</si>
  <si>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</si>
  <si>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</si>
  <si>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</si>
  <si>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</si>
  <si>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</si>
  <si>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</si>
  <si>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</si>
  <si>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</si>
  <si>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</si>
  <si>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</si>
  <si>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</si>
  <si>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</si>
  <si>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</si>
  <si>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</si>
  <si>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</si>
  <si>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</si>
  <si>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</si>
  <si>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</si>
  <si>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</si>
  <si>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</si>
  <si>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</si>
  <si>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</si>
  <si>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</si>
  <si>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</si>
  <si>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</si>
  <si>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</si>
  <si>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</si>
  <si>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</si>
  <si>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</si>
  <si>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</si>
  <si>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</si>
  <si>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</si>
  <si>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</si>
  <si>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</si>
  <si>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</si>
  <si>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</si>
  <si>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</si>
  <si>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</si>
  <si>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</si>
  <si>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</si>
  <si>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</si>
  <si>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</si>
  <si>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</si>
  <si>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</si>
  <si>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</si>
  <si>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</si>
  <si>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</si>
  <si>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</si>
  <si>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</si>
  <si>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</si>
  <si>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</si>
  <si>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</si>
  <si>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</si>
  <si>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</si>
  <si>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</si>
  <si>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</si>
  <si>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</si>
  <si>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</si>
  <si>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</si>
  <si>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</si>
  <si>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</si>
  <si>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</si>
  <si>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</si>
  <si>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</si>
  <si>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</si>
  <si>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</si>
  <si>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</si>
  <si>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</si>
  <si>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</si>
  <si>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</si>
  <si>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</si>
  <si>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</si>
  <si>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</si>
  <si>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</si>
  <si>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</si>
  <si>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</si>
  <si>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</si>
  <si>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</si>
  <si>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</si>
  <si>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</si>
  <si>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</si>
  <si>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</si>
  <si>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</si>
  <si>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</si>
  <si>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</si>
  <si>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</si>
  <si>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</si>
  <si>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</si>
  <si>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</si>
  <si>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</si>
  <si>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</si>
  <si>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</si>
  <si>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</si>
  <si>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</si>
  <si>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</si>
  <si>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</si>
  <si>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</si>
  <si>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</si>
  <si>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</si>
  <si>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</si>
  <si>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</si>
  <si>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</si>
  <si>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</si>
  <si>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</si>
  <si>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</si>
  <si>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</si>
  <si>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</si>
  <si>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</si>
  <si>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</si>
  <si>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</si>
  <si>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</si>
  <si>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</si>
  <si>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</si>
  <si>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</si>
  <si>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</si>
  <si>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</si>
  <si>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</si>
  <si>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</si>
  <si>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</si>
  <si>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</si>
  <si>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</si>
  <si>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</si>
  <si>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</si>
  <si>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</si>
  <si>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</si>
  <si>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</si>
  <si>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</si>
  <si>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</si>
  <si>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</si>
  <si>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</si>
  <si>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</si>
  <si>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</si>
  <si>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</si>
  <si>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</si>
  <si>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</si>
  <si>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</si>
  <si>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</si>
  <si>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</si>
  <si>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</si>
  <si>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</si>
  <si>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</si>
  <si>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</si>
  <si>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</si>
  <si>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</si>
  <si>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</si>
  <si>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</si>
  <si>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</si>
  <si>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</si>
  <si>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</si>
  <si>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</si>
  <si>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</si>
  <si>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</si>
  <si>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</si>
  <si>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</si>
  <si>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</si>
  <si>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</si>
  <si>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</si>
  <si>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</si>
  <si>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</si>
  <si>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</si>
  <si>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</si>
  <si>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</si>
  <si>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</si>
  <si>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</si>
  <si>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</si>
  <si>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</si>
  <si>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</si>
  <si>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</si>
  <si>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</si>
  <si>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</si>
  <si>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</si>
  <si>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</si>
  <si>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</si>
  <si>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</si>
  <si>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</si>
  <si>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</si>
  <si>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</si>
  <si>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</si>
  <si>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</si>
  <si>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</si>
  <si>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</si>
  <si>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</si>
  <si>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</si>
  <si>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</si>
  <si>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</si>
  <si>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</si>
  <si>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</si>
  <si>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</si>
  <si>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</si>
  <si>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</si>
  <si>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</si>
  <si>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</si>
  <si>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</si>
  <si>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</si>
  <si>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</si>
  <si>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</si>
  <si>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</si>
  <si>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</si>
  <si>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</si>
  <si>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</si>
  <si>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</si>
  <si>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</si>
  <si>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</si>
  <si>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</si>
  <si>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</si>
  <si>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</si>
  <si>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</si>
  <si>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</si>
  <si>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</si>
  <si>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</si>
  <si>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</si>
  <si>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</si>
  <si>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</si>
  <si>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</si>
  <si>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</si>
  <si>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</si>
  <si>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</si>
  <si>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</si>
  <si>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</si>
  <si>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</si>
  <si>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</si>
  <si>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</si>
  <si>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</si>
  <si>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</si>
  <si>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</si>
  <si>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</si>
  <si>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</si>
  <si>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</si>
  <si>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</si>
  <si>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</si>
  <si>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</si>
  <si>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</si>
  <si>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</si>
  <si>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</si>
  <si>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</si>
  <si>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</si>
  <si>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</si>
  <si>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</si>
  <si>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</si>
  <si>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</si>
  <si>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</si>
  <si>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</si>
  <si>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</si>
  <si>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</si>
  <si>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</si>
  <si>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</si>
  <si>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</si>
  <si>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</si>
  <si>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</si>
  <si>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</si>
  <si>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</si>
  <si>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</si>
  <si>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</si>
  <si>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</si>
  <si>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</si>
  <si>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</si>
  <si>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</si>
  <si>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</si>
  <si>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</si>
  <si>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</si>
  <si>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</si>
  <si>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</si>
  <si>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</si>
  <si>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</si>
  <si>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</si>
  <si>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</si>
  <si>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</si>
  <si>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</si>
  <si>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</si>
  <si>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</si>
  <si>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</si>
  <si>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</si>
  <si>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</si>
  <si>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</si>
  <si>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</si>
  <si>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</si>
  <si>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</si>
  <si>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</si>
  <si>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</si>
  <si>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</si>
  <si>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</si>
  <si>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</si>
  <si>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</si>
  <si>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</si>
  <si>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</si>
  <si>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</si>
  <si>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</si>
  <si>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</si>
  <si>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</si>
  <si>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</si>
  <si>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</si>
  <si>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</si>
  <si>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</si>
  <si>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</si>
  <si>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</si>
  <si>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</si>
  <si>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</si>
  <si>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</si>
  <si>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</si>
  <si>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</si>
  <si>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</si>
  <si>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</si>
  <si>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</si>
  <si>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</si>
  <si>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</si>
  <si>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</si>
  <si>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</si>
  <si>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</si>
  <si>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</si>
  <si>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</si>
  <si>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</si>
  <si>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</si>
  <si>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</si>
  <si>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</si>
  <si>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</si>
  <si>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</si>
  <si>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</si>
  <si>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</si>
  <si>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</si>
  <si>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</si>
  <si>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</si>
  <si>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</si>
  <si>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</si>
  <si>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</si>
  <si>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</si>
  <si>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</si>
  <si>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</si>
  <si>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</si>
  <si>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</si>
  <si>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</si>
  <si>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</si>
  <si>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</si>
  <si>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</si>
  <si>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</si>
  <si>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</si>
  <si>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</si>
  <si>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</si>
  <si>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</si>
  <si>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</si>
  <si>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</si>
  <si>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</si>
  <si>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</si>
  <si>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</si>
  <si>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</si>
  <si>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</si>
  <si>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</si>
  <si>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</si>
  <si>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</si>
  <si>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</si>
  <si>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</si>
  <si>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</si>
  <si>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</si>
  <si>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</si>
  <si>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</si>
  <si>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</si>
  <si>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</si>
  <si>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</si>
  <si>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</si>
  <si>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</si>
  <si>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</si>
  <si>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</si>
  <si>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</si>
  <si>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</si>
  <si>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</si>
  <si>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</si>
  <si>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</si>
  <si>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</si>
  <si>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</si>
  <si>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</si>
  <si>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</si>
  <si>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</si>
  <si>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</si>
  <si>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</si>
  <si>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</si>
  <si>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</si>
  <si>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</si>
  <si>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</si>
  <si>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</si>
  <si>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</si>
  <si>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</si>
  <si>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</si>
  <si>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</si>
  <si>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</si>
  <si>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</si>
  <si>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</si>
  <si>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</si>
  <si>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</si>
  <si>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</si>
  <si>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</si>
  <si>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</si>
  <si>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</si>
  <si>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</si>
  <si>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</si>
  <si>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</si>
  <si>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</si>
  <si>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</si>
  <si>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</si>
  <si>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</si>
  <si>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</si>
  <si>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</si>
  <si>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</si>
  <si>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</si>
  <si>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</si>
  <si>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</si>
  <si>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</si>
  <si>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</si>
  <si>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</si>
  <si>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</si>
  <si>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</si>
  <si>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</si>
  <si>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</si>
  <si>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</si>
  <si>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</si>
  <si>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</si>
  <si>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</si>
  <si>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</si>
  <si>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</si>
  <si>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</si>
  <si>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</si>
  <si>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</si>
  <si>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</si>
  <si>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</si>
  <si>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</si>
  <si>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</si>
  <si>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</si>
  <si>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</si>
  <si>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</si>
  <si>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</si>
  <si>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</si>
  <si>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</si>
  <si>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</si>
  <si>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</si>
  <si>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</si>
  <si>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</si>
  <si>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</si>
  <si>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</si>
  <si>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</si>
  <si>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</si>
  <si>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</si>
  <si>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</si>
  <si>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</si>
  <si>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</si>
  <si>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</si>
  <si>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</si>
  <si>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</si>
  <si>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</si>
  <si>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</si>
  <si>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</si>
  <si>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</si>
  <si>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</si>
  <si>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</si>
  <si>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</si>
  <si>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</si>
  <si>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</si>
  <si>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</si>
  <si>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</si>
  <si>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</si>
  <si>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</si>
  <si>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</si>
  <si>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</si>
  <si>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</si>
  <si>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</si>
  <si>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</si>
  <si>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</si>
  <si>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</si>
  <si>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</si>
  <si>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</si>
  <si>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</si>
  <si>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</si>
  <si>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</si>
  <si>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</si>
  <si>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</si>
  <si>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</si>
  <si>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</si>
  <si>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</si>
  <si>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</si>
  <si>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</si>
  <si>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</si>
  <si>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</si>
  <si>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</si>
  <si>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</si>
  <si>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</si>
  <si>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</si>
  <si>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</si>
  <si>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</si>
  <si>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</si>
  <si>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</si>
  <si>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</si>
  <si>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</si>
  <si>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</si>
  <si>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</si>
  <si>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</si>
  <si>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</si>
  <si>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</si>
  <si>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</si>
  <si>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</si>
  <si>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</si>
  <si>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</si>
  <si>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</si>
  <si>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</si>
  <si>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</si>
  <si>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</si>
  <si>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</si>
  <si>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</si>
  <si>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</si>
  <si>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</si>
  <si>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</si>
  <si>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</si>
  <si>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</si>
  <si>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</si>
  <si>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</si>
  <si>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</si>
  <si>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</si>
  <si>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</si>
  <si>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</si>
  <si>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</si>
  <si>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</si>
  <si>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</si>
  <si>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</si>
  <si>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</si>
  <si>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</si>
  <si>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</si>
  <si>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</si>
  <si>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</si>
  <si>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</si>
  <si>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</si>
  <si>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</si>
  <si>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</si>
  <si>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</si>
  <si>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</si>
  <si>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</si>
  <si>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</si>
  <si>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</si>
  <si>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</si>
  <si>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</si>
  <si>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</si>
  <si>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</si>
  <si>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</si>
  <si>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</si>
  <si>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</si>
  <si>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</si>
  <si>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</si>
  <si>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</si>
  <si>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</si>
  <si>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</si>
  <si>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</si>
  <si>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</si>
  <si>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</si>
  <si>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</si>
  <si>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</si>
  <si>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</si>
  <si>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</si>
  <si>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</si>
  <si>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</si>
  <si>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</si>
  <si>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</si>
  <si>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</si>
  <si>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</si>
  <si>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</si>
  <si>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</si>
  <si>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</si>
  <si>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</si>
  <si>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</si>
  <si>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</si>
  <si>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</si>
  <si>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</si>
  <si>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</si>
  <si>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</si>
  <si>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</si>
  <si>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</si>
  <si>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</si>
  <si>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</si>
  <si>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</si>
  <si>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</si>
  <si>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</si>
  <si>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</si>
  <si>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</si>
  <si>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</si>
  <si>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</si>
  <si>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</si>
  <si>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</si>
  <si>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</si>
  <si>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</si>
  <si>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</si>
  <si>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</si>
  <si>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</si>
  <si>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</si>
  <si>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</si>
  <si>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</si>
  <si>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</si>
  <si>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</si>
  <si>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</si>
  <si>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</si>
  <si>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</si>
  <si>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</si>
  <si>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</si>
  <si>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</si>
  <si>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</si>
  <si>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</si>
  <si>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</si>
  <si>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</si>
  <si>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</si>
  <si>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</si>
  <si>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</si>
  <si>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</si>
  <si>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</si>
  <si>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</si>
  <si>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</si>
  <si>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</si>
  <si>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</si>
  <si>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</si>
  <si>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</si>
  <si>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</si>
  <si>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</si>
  <si>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</si>
  <si>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</si>
  <si>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</si>
  <si>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</si>
  <si>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</si>
  <si>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</si>
  <si>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</si>
  <si>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</si>
  <si>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</si>
  <si>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</si>
  <si>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</si>
  <si>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</si>
  <si>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</si>
  <si>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</si>
  <si>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</si>
  <si>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</si>
  <si>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</si>
  <si>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</si>
  <si>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</si>
  <si>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</si>
  <si>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</si>
  <si>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</si>
  <si>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</si>
  <si>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</si>
  <si>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</si>
  <si>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</si>
  <si>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</si>
  <si>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</si>
  <si>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</si>
  <si>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</si>
  <si>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</si>
  <si>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</si>
  <si>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</si>
  <si>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</si>
  <si>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</si>
  <si>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</si>
  <si>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</si>
  <si>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</si>
  <si>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</si>
  <si>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</si>
  <si>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</si>
  <si>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</si>
  <si>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</si>
  <si>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</si>
  <si>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</si>
  <si>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</si>
  <si>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</si>
  <si>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</si>
  <si>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</si>
  <si>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</si>
  <si>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</si>
  <si>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</si>
  <si>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</si>
  <si>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</si>
  <si>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</si>
  <si>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</si>
  <si>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</si>
  <si>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</si>
  <si>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</si>
  <si>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</si>
  <si>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</si>
  <si>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</si>
  <si>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</si>
  <si>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</si>
  <si>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</si>
  <si>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</si>
  <si>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</si>
  <si>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</si>
  <si>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</si>
  <si>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</si>
  <si>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</si>
  <si>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</si>
  <si>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</si>
  <si>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</si>
  <si>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</si>
  <si>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</si>
  <si>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</si>
  <si>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</si>
  <si>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</si>
  <si>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</si>
  <si>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</si>
  <si>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</si>
  <si>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</si>
  <si>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</si>
  <si>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</si>
  <si>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</si>
  <si>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</si>
  <si>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</si>
  <si>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</si>
  <si>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</si>
  <si>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</si>
  <si>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</si>
  <si>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</si>
  <si>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</si>
  <si>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</si>
  <si>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</si>
  <si>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</si>
  <si>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</si>
  <si>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</si>
  <si>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</si>
  <si>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</si>
  <si>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</si>
  <si>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</si>
  <si>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</si>
  <si>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</si>
  <si>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</si>
  <si>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</si>
  <si>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</si>
  <si>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</si>
  <si>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</si>
  <si>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</si>
  <si>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</si>
  <si>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</si>
  <si>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</si>
  <si>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</si>
  <si>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</si>
  <si>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</si>
  <si>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</si>
  <si>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</si>
  <si>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</si>
  <si>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</si>
  <si>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</si>
  <si>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</si>
  <si>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</si>
  <si>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</si>
  <si>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</si>
  <si>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</si>
  <si>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</si>
  <si>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</si>
  <si>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</si>
  <si>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</si>
  <si>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</si>
  <si>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</si>
  <si>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</si>
  <si>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</si>
  <si>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</si>
  <si>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</si>
  <si>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</si>
  <si>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</si>
  <si>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</si>
  <si>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</si>
  <si>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</si>
  <si>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</si>
  <si>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</si>
  <si>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</si>
  <si>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</si>
  <si>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</si>
  <si>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</si>
  <si>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</si>
  <si>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</si>
  <si>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</si>
  <si>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</si>
  <si>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</si>
  <si>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</si>
  <si>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</si>
  <si>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</si>
  <si>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</si>
  <si>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</si>
  <si>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</si>
  <si>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</si>
  <si>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</si>
  <si>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</si>
  <si>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</si>
  <si>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</si>
  <si>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</si>
  <si>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</si>
  <si>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</si>
  <si>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</si>
  <si>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</si>
  <si>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</si>
  <si>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</si>
  <si>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</si>
  <si>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</si>
  <si>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</si>
  <si>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</si>
  <si>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</si>
  <si>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</si>
  <si>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</si>
  <si>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</si>
  <si>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</si>
  <si>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</si>
  <si>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</si>
  <si>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</si>
  <si>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</si>
  <si>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</si>
  <si>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</si>
  <si>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</si>
  <si>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</si>
  <si>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</si>
  <si>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</si>
  <si>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</si>
  <si>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</si>
  <si>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</si>
  <si>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</si>
  <si>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</si>
  <si>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</si>
  <si>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</si>
  <si>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</si>
  <si>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</si>
  <si>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</si>
  <si>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</si>
  <si>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</si>
  <si>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</si>
  <si>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</si>
  <si>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</si>
  <si>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</si>
  <si>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</si>
  <si>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</si>
  <si>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</si>
  <si>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</si>
  <si>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</si>
  <si>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</si>
  <si>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</si>
  <si>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</si>
  <si>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</si>
  <si>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</si>
  <si>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</si>
  <si>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</si>
  <si>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</si>
  <si>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</si>
  <si>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</si>
  <si>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</si>
  <si>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</si>
  <si>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</si>
  <si>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</si>
  <si>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</si>
  <si>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</si>
  <si>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</si>
  <si>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</si>
  <si>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</si>
  <si>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</si>
  <si>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</si>
  <si>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</si>
  <si>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</si>
  <si>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</si>
  <si>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</si>
  <si>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</si>
  <si>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</si>
  <si>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</si>
  <si>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</si>
  <si>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</si>
  <si>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</si>
  <si>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</si>
  <si>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</si>
  <si>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</si>
  <si>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</si>
  <si>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</si>
  <si>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</si>
  <si>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</si>
  <si>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</si>
  <si>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</si>
  <si>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</si>
  <si>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</si>
  <si>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</si>
  <si>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</si>
  <si>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</si>
  <si>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</si>
  <si>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</si>
  <si>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</si>
  <si>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</si>
  <si>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</si>
  <si>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</si>
  <si>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</si>
  <si>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</si>
  <si>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</si>
  <si>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</si>
  <si>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</si>
  <si>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</si>
  <si>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</si>
  <si>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</si>
  <si>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</si>
  <si>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</si>
  <si>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</si>
  <si>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</si>
  <si>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</si>
  <si>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</si>
  <si>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</si>
  <si>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</si>
  <si>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</si>
  <si>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</si>
  <si>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</si>
  <si>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</si>
  <si>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</si>
  <si>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</si>
  <si>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</si>
  <si>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</si>
  <si>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</si>
  <si>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</si>
  <si>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</si>
  <si>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</si>
  <si>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</si>
  <si>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</si>
  <si>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</si>
  <si>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</si>
  <si>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</si>
  <si>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</si>
  <si>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</si>
  <si>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</si>
  <si>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</si>
  <si>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</si>
  <si>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</si>
  <si>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</si>
  <si>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</si>
  <si>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</si>
  <si>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</si>
  <si>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</si>
  <si>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</si>
  <si>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</si>
  <si>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</si>
  <si>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</si>
  <si>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</si>
  <si>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</si>
  <si>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</si>
  <si>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</si>
  <si>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</si>
  <si>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</si>
  <si>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</si>
  <si>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</si>
  <si>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</si>
  <si>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</si>
  <si>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</si>
  <si>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</si>
  <si>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</si>
  <si>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</si>
  <si>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</si>
  <si>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</si>
  <si>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</si>
  <si>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</si>
  <si>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</si>
  <si>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</si>
  <si>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</si>
  <si>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</si>
  <si>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</si>
  <si>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</si>
  <si>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</si>
  <si>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</si>
  <si>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</si>
  <si>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</si>
  <si>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</si>
  <si>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</si>
  <si>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</si>
  <si>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</si>
  <si>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</si>
  <si>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</si>
  <si>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</si>
  <si>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</si>
  <si>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</si>
  <si>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</si>
  <si>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</si>
  <si>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</si>
  <si>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</si>
  <si>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</si>
  <si>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</si>
  <si>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</si>
  <si>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</si>
  <si>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</si>
  <si>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</si>
  <si>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</si>
  <si>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</si>
  <si>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</si>
  <si>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</si>
  <si>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</si>
  <si>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</si>
  <si>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</si>
  <si>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</si>
  <si>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</si>
  <si>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</si>
  <si>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</si>
  <si>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</si>
  <si>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</si>
  <si>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</si>
  <si>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</si>
  <si>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</si>
  <si>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</si>
  <si>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</si>
  <si>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</si>
  <si>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</si>
  <si>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</si>
  <si>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</si>
  <si>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</si>
  <si>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</si>
  <si>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</si>
  <si>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</si>
  <si>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</si>
  <si>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</si>
  <si>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</si>
  <si>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</si>
  <si>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</si>
  <si>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</si>
  <si>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</si>
  <si>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</si>
  <si>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</si>
  <si>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</si>
  <si>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</si>
  <si>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</si>
  <si>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</si>
  <si>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</si>
  <si>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</si>
  <si>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</si>
  <si>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</si>
  <si>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</si>
  <si>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</si>
  <si>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</si>
  <si>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</si>
  <si>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</si>
  <si>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</si>
  <si>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</si>
  <si>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</si>
  <si>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</si>
  <si>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</si>
  <si>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</si>
  <si>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</si>
  <si>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</si>
  <si>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</si>
  <si>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</si>
  <si>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</si>
  <si>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</si>
  <si>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</si>
  <si>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</si>
  <si>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</si>
  <si>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</si>
  <si>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</si>
  <si>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</si>
  <si>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</si>
  <si>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</si>
  <si>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</si>
  <si>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</si>
  <si>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</si>
  <si>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</si>
  <si>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</si>
  <si>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</si>
  <si>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</si>
  <si>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</si>
  <si>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</si>
  <si>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</si>
  <si>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</si>
  <si>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</si>
  <si>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</si>
  <si>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</si>
  <si>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</si>
  <si>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</si>
  <si>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</si>
  <si>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</si>
  <si>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</si>
  <si>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</si>
  <si>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</si>
  <si>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</si>
  <si>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</si>
  <si>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</si>
  <si>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</si>
  <si>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</si>
  <si>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</si>
  <si>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</si>
  <si>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</si>
  <si>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</si>
  <si>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</si>
  <si>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</si>
  <si>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</si>
  <si>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</si>
  <si>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</si>
  <si>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</si>
  <si>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</si>
  <si>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</si>
  <si>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</si>
  <si>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</si>
  <si>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</si>
  <si>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</si>
  <si>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</si>
  <si>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</si>
  <si>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</si>
  <si>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</si>
  <si>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</si>
  <si>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</si>
  <si>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</si>
  <si>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</si>
  <si>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</si>
  <si>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</si>
  <si>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</si>
  <si>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</si>
  <si>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</si>
  <si>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</si>
  <si>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</si>
  <si>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</si>
  <si>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</si>
  <si>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</si>
  <si>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</si>
  <si>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</si>
  <si>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</si>
  <si>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</si>
  <si>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</si>
  <si>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</si>
  <si>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</si>
  <si>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</si>
  <si>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</si>
  <si>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</si>
  <si>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</si>
  <si>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</si>
  <si>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</si>
  <si>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</si>
  <si>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</si>
  <si>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</si>
  <si>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</si>
  <si>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</si>
  <si>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</si>
  <si>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</si>
  <si>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</si>
  <si>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</si>
  <si>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</si>
  <si>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</si>
  <si>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</si>
  <si>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</si>
  <si>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</si>
  <si>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</si>
  <si>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</si>
  <si>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</si>
  <si>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</si>
  <si>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</si>
  <si>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</si>
  <si>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</si>
  <si>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</si>
  <si>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</si>
  <si>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</si>
  <si>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</si>
  <si>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</si>
  <si>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</si>
  <si>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</si>
  <si>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</si>
  <si>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</si>
  <si>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</si>
  <si>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</si>
  <si>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</si>
  <si>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</si>
  <si>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</si>
  <si>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</si>
  <si>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</si>
  <si>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</si>
  <si>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</si>
  <si>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</si>
  <si>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</si>
  <si>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</si>
  <si>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</si>
  <si>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</si>
  <si>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</si>
  <si>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</si>
  <si>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</si>
  <si>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</si>
  <si>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</si>
  <si>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</si>
  <si>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</si>
  <si>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</si>
  <si>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</si>
  <si>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</si>
  <si>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</si>
  <si>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</si>
  <si>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</si>
  <si>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</si>
  <si>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</si>
  <si>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</si>
  <si>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</si>
  <si>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</si>
  <si>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</si>
  <si>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</si>
  <si>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</si>
  <si>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</si>
  <si>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</si>
  <si>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</si>
  <si>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</si>
  <si>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</si>
  <si>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</si>
  <si>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</si>
  <si>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</si>
  <si>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</si>
  <si>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</si>
  <si>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</si>
  <si>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</si>
  <si>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</si>
  <si>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</si>
  <si>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</si>
  <si>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</si>
  <si>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</si>
  <si>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</si>
  <si>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</si>
  <si>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</si>
  <si>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</si>
  <si>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</si>
  <si>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</si>
  <si>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</si>
  <si>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</si>
  <si>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</si>
  <si>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</si>
  <si>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</si>
  <si>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</si>
  <si>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</si>
  <si>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</si>
  <si>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</si>
  <si>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</si>
  <si>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</si>
  <si>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</si>
  <si>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</si>
  <si>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</si>
  <si>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</si>
  <si>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</si>
  <si>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</si>
  <si>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</si>
  <si>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</si>
  <si>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</si>
  <si>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</si>
  <si>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</si>
  <si>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</si>
  <si>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</si>
  <si>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</si>
  <si>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</si>
  <si>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</si>
  <si>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</si>
  <si>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</si>
  <si>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AIMORÉS – BAIRRO ALVORADA</t>
  </si>
  <si>
    <t>RUA AIMORÉS – BAIRRO ALVORADA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</si>
</sst>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8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3" fontId="1" fillId="0" borderId="30" xfId="42" applyFill="1" applyBorder="1"/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44" fontId="24" fillId="0" borderId="30" xfId="43" applyFont="1" applyFill="1" applyBorder="1" applyAlignment="1">
      <alignment horizontal="center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0" fontId="1" fillId="0" borderId="30" xfId="48" applyBorder="1" applyAlignment="1">
      <alignment horizontal="center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topLeftCell="A1217" workbookViewId="0">
      <selection activeCell="A1223" sqref="A1223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8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2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2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2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2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2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2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2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2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2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2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2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2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2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2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2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2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2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2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2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2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2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2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2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2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2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2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2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2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2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2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2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2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2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2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2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2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2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2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2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2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2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2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2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2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2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2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2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2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2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2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2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2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2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2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2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2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2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2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2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2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2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2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2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2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2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2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2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2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2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2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2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2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2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2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2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2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2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2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2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2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2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2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2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2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2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2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2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2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2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2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2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2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2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2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2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2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2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2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2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2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2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2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2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2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2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2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2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2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2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2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2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2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2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2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2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2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2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2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2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2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2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2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2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2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2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2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2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2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2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2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2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2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2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2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2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2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2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2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2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2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2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2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2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2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2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2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2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2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2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2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2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2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2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2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2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2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2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2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2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2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2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2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2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2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2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2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2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2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2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2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2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2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2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2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2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2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2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2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2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2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2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2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2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2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2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2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2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2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2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2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2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2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2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2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2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2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2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2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2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2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2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2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2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2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2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2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2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2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2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2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2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2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2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2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2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2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2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2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2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2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2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2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2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2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2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2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2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2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2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2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2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2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2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2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2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2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2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2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2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2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2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2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2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2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2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2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2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2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2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2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2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2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2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2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2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2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2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2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2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2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2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2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2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2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2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2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2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2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2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2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2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2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2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2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2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2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2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2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2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2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2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2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2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2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2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2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2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2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2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2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2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2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2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2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2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2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2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2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2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2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2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2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2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2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2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2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2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2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2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2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2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2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2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2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2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2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2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2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2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2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2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2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2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2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2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2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2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2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2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2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2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2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2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2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2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2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2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2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2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2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2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2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2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2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2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2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2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2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2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2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2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2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2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2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2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2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2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2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2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2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2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2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2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2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2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2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2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2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2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2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2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2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2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2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2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2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2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2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2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2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2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2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2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2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2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2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2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2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2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2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2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2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2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2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2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2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2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2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2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2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2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2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2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2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2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2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2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2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2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2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2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2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2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2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2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2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2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2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2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2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2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2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2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2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2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2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2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2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2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2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2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2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2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2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2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2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2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2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2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2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2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2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2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2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2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2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2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2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2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2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2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2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2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2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2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2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2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2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2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2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2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2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2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2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2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2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2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2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2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2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2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2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2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2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2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2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2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2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2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2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2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2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2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2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2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2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2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2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2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2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2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2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2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2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2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2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2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2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2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2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2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2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2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2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2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2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2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2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2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2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2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2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2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2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2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2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2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2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2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2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2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2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2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2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2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2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2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2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2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2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2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2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2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2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2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2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2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2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2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2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2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2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2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2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2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2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2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2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2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2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2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2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2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2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2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2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2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2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2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2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2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2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2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2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2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2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2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2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2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2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2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2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2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2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2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2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2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2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2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2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2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2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2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2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2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2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2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2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2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2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2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2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2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2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2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2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2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2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2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2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2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2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2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2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2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2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2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2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2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2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2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2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2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2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2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2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2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2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2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2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2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2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2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2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2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2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2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2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2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2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2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2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2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2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2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2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2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2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2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2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2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2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2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2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2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2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2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2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2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2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2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2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2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2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2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2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2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2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2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2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2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2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2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2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2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2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2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2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2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2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2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2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2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2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2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2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2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2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2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2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2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2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2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2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2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2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2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2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2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2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2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2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2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2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2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2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2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2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2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2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2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2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2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2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2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2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2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2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2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2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2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2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2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2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2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2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2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2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2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2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2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2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2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2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2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2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2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2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2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2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2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2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2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2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2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2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2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2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2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2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2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2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2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2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2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2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2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2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2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2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2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2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2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2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2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2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2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2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2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2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2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2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2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2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2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2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2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2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2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2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2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2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2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2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2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2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2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2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2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2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2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2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2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2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2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2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2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2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2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2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2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2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2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2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2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2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2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2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2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2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2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2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2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2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2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2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2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2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2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2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2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2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2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2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2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2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2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2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2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2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2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2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2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2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2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2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2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2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2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2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2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2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2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2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2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2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2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2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2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2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2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2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2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2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2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2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2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2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2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2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2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2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2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2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2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2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2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2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2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2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2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2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2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2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2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2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2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2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2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2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2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2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2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2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2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2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2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2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2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2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2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2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2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2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2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2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2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2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2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2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2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2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2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2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2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2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2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2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2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2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2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2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2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2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2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2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2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2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2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2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2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2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2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2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2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2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2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2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2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2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2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2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2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2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2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2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2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2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2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2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2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2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2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2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2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2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2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2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2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2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2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2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2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2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2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2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2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2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2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2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2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2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2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2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2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2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2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2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2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2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2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2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2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2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2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2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2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2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2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2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2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2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2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2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2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2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2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2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2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2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2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2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2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2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2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2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2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2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2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2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2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2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2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2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2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2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2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2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2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2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2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2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2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2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2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2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2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2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2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2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2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2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2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2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2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2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2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2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2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2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2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2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2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2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2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2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2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2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2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2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2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2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2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2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2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2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2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2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2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2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2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2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2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2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2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2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2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2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2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2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2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2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2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2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2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2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2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2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2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2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2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2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2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2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2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2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2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2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2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2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2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2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2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2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2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2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2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2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2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2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2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2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2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2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2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2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2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2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2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2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2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2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2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2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2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2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2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2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2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2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2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2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2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2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2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2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2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2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2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2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2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2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2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2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2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2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2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2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2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2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2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2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2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2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2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2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2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2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2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2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2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2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2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2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2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2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2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2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2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2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2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2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2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2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2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2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2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2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2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2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2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2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2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2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2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2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2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2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2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2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2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2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2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2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2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2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2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2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2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2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2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2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2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2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2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2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2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2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2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2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2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2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2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2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2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2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2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2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2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2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2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2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2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2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2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2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2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2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2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2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2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2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2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2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2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2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2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2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2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2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2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2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2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2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2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2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2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2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2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2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2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2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2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2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2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2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2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2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2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2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2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2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2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2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2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2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2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2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2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2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2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2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2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2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2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2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2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2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2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2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2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2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2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2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2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2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2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2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2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2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2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2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2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2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2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2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2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2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2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2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2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2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2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2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2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2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2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2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2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2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2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2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2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2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2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2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2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2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2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2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2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2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2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2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2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2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2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2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2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2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2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2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2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2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2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2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2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2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2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2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2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2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2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2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2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2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2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2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2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2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2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2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2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2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2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2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2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2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2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2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2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2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2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2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2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2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2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2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2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2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2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2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2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2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2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2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2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2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2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2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2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2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2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2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2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2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2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2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2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2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2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2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2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2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2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2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2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2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2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2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2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2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2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2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2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2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2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2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2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2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2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2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2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2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2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2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2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2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2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2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2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2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2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2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2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2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2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2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2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2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2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2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2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2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2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2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2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2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2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2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2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2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2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2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2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2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2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2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2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2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2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2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2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2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2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2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2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2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2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2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2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2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2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2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2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2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2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2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2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2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2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2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2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2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2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2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2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2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2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2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2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2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2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2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2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2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2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2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2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2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2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2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2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2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2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2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2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2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2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2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2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2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2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2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2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2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2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2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2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2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2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2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2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2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2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2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2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2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2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2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2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2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2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2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2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2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2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2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2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2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2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2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2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2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2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2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2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2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2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2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2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2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2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2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2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2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2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2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2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2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2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2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2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2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2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2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2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2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2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2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2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2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2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2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2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2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2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2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2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2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2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2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2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2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2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2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2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2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2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2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2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2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2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2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2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2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2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2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2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2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2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2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2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2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2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2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2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2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2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2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2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2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2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2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2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2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2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2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2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2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2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2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2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2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2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2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2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2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2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2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2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2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2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2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2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2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2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2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2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2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2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2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2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2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2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2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2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2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2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2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2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2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2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2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2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2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2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2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2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53"/>
  <sheetViews>
    <sheetView showGridLines="0" tabSelected="1" zoomScaleNormal="100" workbookViewId="0">
      <selection activeCell="A41" sqref="A41:E41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5.570312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96" t="s">
        <v>1777</v>
      </c>
      <c r="B1" s="96"/>
      <c r="C1" s="96"/>
      <c r="D1" s="96"/>
      <c r="E1" s="96"/>
      <c r="F1" s="96"/>
      <c r="G1" s="96"/>
      <c r="H1" s="96"/>
      <c r="I1" s="96"/>
    </row>
    <row r="2" spans="1:9" ht="15.75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</row>
    <row r="3" spans="1:9" ht="24" customHeight="1" thickBot="1" x14ac:dyDescent="0.3">
      <c r="A3" s="1"/>
      <c r="B3" s="2"/>
      <c r="C3" s="3"/>
      <c r="D3" s="3"/>
      <c r="E3" s="3"/>
      <c r="F3" s="3"/>
      <c r="G3" s="108" t="s">
        <v>1778</v>
      </c>
      <c r="H3" s="108"/>
      <c r="I3" s="108"/>
    </row>
    <row r="4" spans="1:9" ht="16.5" thickBot="1" x14ac:dyDescent="0.3">
      <c r="A4" s="98" t="s">
        <v>1696</v>
      </c>
      <c r="B4" s="99"/>
      <c r="C4" s="99"/>
      <c r="D4" s="99"/>
      <c r="E4" s="99"/>
      <c r="F4" s="99"/>
      <c r="G4" s="99"/>
      <c r="H4" s="99"/>
      <c r="I4" s="100"/>
    </row>
    <row r="5" spans="1:9" x14ac:dyDescent="0.25">
      <c r="A5" s="101" t="s">
        <v>1779</v>
      </c>
      <c r="B5" s="102"/>
      <c r="C5" s="102"/>
      <c r="D5" s="102"/>
      <c r="E5" s="102"/>
      <c r="F5" s="102"/>
      <c r="G5" s="102"/>
      <c r="H5" s="102"/>
      <c r="I5" s="103"/>
    </row>
    <row r="6" spans="1:9" x14ac:dyDescent="0.25">
      <c r="A6" s="104" t="s">
        <v>1783</v>
      </c>
      <c r="B6" s="105"/>
      <c r="C6" s="105"/>
      <c r="D6" s="106"/>
      <c r="E6" s="106"/>
      <c r="F6" s="105"/>
      <c r="G6" s="105"/>
      <c r="H6" s="105"/>
      <c r="I6" s="107"/>
    </row>
    <row r="7" spans="1:9" ht="15.75" thickBot="1" x14ac:dyDescent="0.3">
      <c r="A7" s="86" t="s">
        <v>1697</v>
      </c>
      <c r="B7" s="87"/>
      <c r="C7" s="87"/>
      <c r="D7" s="87"/>
      <c r="E7" s="88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89"/>
      <c r="B8" s="89"/>
      <c r="C8" s="89"/>
      <c r="D8" s="89"/>
      <c r="E8" s="89"/>
      <c r="F8" s="89"/>
      <c r="G8" s="89"/>
      <c r="H8" s="89"/>
      <c r="I8" s="89"/>
    </row>
    <row r="9" spans="1:9" x14ac:dyDescent="0.25">
      <c r="A9" s="90" t="s">
        <v>1700</v>
      </c>
      <c r="B9" s="90" t="s">
        <v>1701</v>
      </c>
      <c r="C9" s="90" t="s">
        <v>1702</v>
      </c>
      <c r="D9" s="92" t="s">
        <v>1703</v>
      </c>
      <c r="E9" s="90" t="s">
        <v>1704</v>
      </c>
      <c r="F9" s="94" t="s">
        <v>1705</v>
      </c>
      <c r="G9" s="95"/>
      <c r="H9" s="94" t="s">
        <v>1706</v>
      </c>
      <c r="I9" s="95"/>
    </row>
    <row r="10" spans="1:9" x14ac:dyDescent="0.25">
      <c r="A10" s="91"/>
      <c r="B10" s="91"/>
      <c r="C10" s="91"/>
      <c r="D10" s="93"/>
      <c r="E10" s="91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13">
        <v>1</v>
      </c>
      <c r="F11" s="12">
        <f>VLOOKUP(B11,'preço de mercado'!A2:D1620,4,0)</f>
        <v>16.395510654435057</v>
      </c>
      <c r="G11" s="14">
        <f>ROUND(F11*E11,2)</f>
        <v>16.399999999999999</v>
      </c>
      <c r="H11" s="14">
        <f>ROUND(F11*(1+$I$7),2)</f>
        <v>20.63</v>
      </c>
      <c r="I11" s="15">
        <f>ROUND(H11*E11,2)</f>
        <v>20.63</v>
      </c>
    </row>
    <row r="12" spans="1:9" x14ac:dyDescent="0.25">
      <c r="A12" s="10">
        <v>2</v>
      </c>
      <c r="B12" s="11">
        <v>229005</v>
      </c>
      <c r="C12" s="12" t="str">
        <f>VLOOKUP(B12,'preço de mercado'!A3:D1621,2,0)</f>
        <v>ALCA PREF CB CA/CAL  70MM2 MULTIPLEX</v>
      </c>
      <c r="D12" s="12" t="str">
        <f>VLOOKUP(B12,'preço de mercado'!A3:D1621,3,0)</f>
        <v>PC</v>
      </c>
      <c r="E12" s="13">
        <v>1</v>
      </c>
      <c r="F12" s="12">
        <f>VLOOKUP(B12,'preço de mercado'!A3:D1621,4,0)</f>
        <v>8.4645328033928351</v>
      </c>
      <c r="G12" s="14">
        <f t="shared" ref="G12:G35" si="0">ROUND(F12*E12,2)</f>
        <v>8.4600000000000009</v>
      </c>
      <c r="H12" s="14">
        <f t="shared" ref="H12:H35" si="1">ROUND(F12*(1+$I$7),2)</f>
        <v>10.65</v>
      </c>
      <c r="I12" s="15">
        <f t="shared" ref="I12:I35" si="2">ROUND(H12*E12,2)</f>
        <v>10.65</v>
      </c>
    </row>
    <row r="13" spans="1:9" x14ac:dyDescent="0.25">
      <c r="A13" s="10">
        <v>3</v>
      </c>
      <c r="B13" s="11">
        <v>75721</v>
      </c>
      <c r="C13" s="12" t="str">
        <f>VLOOKUP(B13,'preço de mercado'!A4:D1622,2,0)</f>
        <v>ARRUELA QUADRADA 38X18X3MM</v>
      </c>
      <c r="D13" s="12" t="str">
        <f>VLOOKUP(B13,'preço de mercado'!A4:D1622,3,0)</f>
        <v>PC</v>
      </c>
      <c r="E13" s="13">
        <v>8</v>
      </c>
      <c r="F13" s="12">
        <f>VLOOKUP(B13,'preço de mercado'!A4:D1622,4,0)</f>
        <v>0.55164156090487504</v>
      </c>
      <c r="G13" s="14">
        <f t="shared" si="0"/>
        <v>4.41</v>
      </c>
      <c r="H13" s="14">
        <f t="shared" si="1"/>
        <v>0.69</v>
      </c>
      <c r="I13" s="15">
        <f t="shared" si="2"/>
        <v>5.52</v>
      </c>
    </row>
    <row r="14" spans="1:9" x14ac:dyDescent="0.25">
      <c r="A14" s="10">
        <v>4</v>
      </c>
      <c r="B14" s="11">
        <v>327692</v>
      </c>
      <c r="C14" s="12" t="str">
        <f>VLOOKUP(B14,'preço de mercado'!A5:D1623,2,0)</f>
        <v>BRAÇADEIRA PLASTICA CABO MULTIPLEXADO</v>
      </c>
      <c r="D14" s="12" t="str">
        <f>VLOOKUP(B14,'preço de mercado'!A5:D1623,3,0)</f>
        <v>PC</v>
      </c>
      <c r="E14" s="13">
        <v>3</v>
      </c>
      <c r="F14" s="12">
        <f>VLOOKUP(B14,'preço de mercado'!A5:D1623,4,0)</f>
        <v>0.87720051488152251</v>
      </c>
      <c r="G14" s="14">
        <f t="shared" si="0"/>
        <v>2.63</v>
      </c>
      <c r="H14" s="14">
        <f t="shared" si="1"/>
        <v>1.1000000000000001</v>
      </c>
      <c r="I14" s="15">
        <f t="shared" si="2"/>
        <v>3.3</v>
      </c>
    </row>
    <row r="15" spans="1:9" x14ac:dyDescent="0.25">
      <c r="A15" s="74">
        <v>5</v>
      </c>
      <c r="B15" s="11">
        <v>258921</v>
      </c>
      <c r="C15" s="12" t="str">
        <f>VLOOKUP(B15,'preço de mercado'!A6:D1624,2,0)</f>
        <v>BRACO IP TIPO MEDIO</v>
      </c>
      <c r="D15" s="12" t="str">
        <f>VLOOKUP(B15,'preço de mercado'!A6:D1624,3,0)</f>
        <v>PC</v>
      </c>
      <c r="E15" s="13">
        <v>3</v>
      </c>
      <c r="F15" s="12">
        <f>VLOOKUP(B15,'preço de mercado'!A6:D1624,4,0)</f>
        <v>184.06741525668568</v>
      </c>
      <c r="G15" s="14">
        <f t="shared" si="0"/>
        <v>552.20000000000005</v>
      </c>
      <c r="H15" s="14">
        <f t="shared" si="1"/>
        <v>231.64</v>
      </c>
      <c r="I15" s="15">
        <f t="shared" si="2"/>
        <v>694.92</v>
      </c>
    </row>
    <row r="16" spans="1:9" x14ac:dyDescent="0.25">
      <c r="A16" s="74">
        <v>6</v>
      </c>
      <c r="B16" s="11">
        <v>2931</v>
      </c>
      <c r="C16" s="12" t="str">
        <f>VLOOKUP(B16,'preço de mercado'!A7:D1625,2,0)</f>
        <v>CABO ACO 6,4MM SM 7 FIOS ZINC</v>
      </c>
      <c r="D16" s="12" t="str">
        <f>VLOOKUP(B16,'preço de mercado'!A7:D1625,3,0)</f>
        <v>KG</v>
      </c>
      <c r="E16" s="13">
        <v>3.2</v>
      </c>
      <c r="F16" s="12">
        <f>VLOOKUP(B16,'preço de mercado'!A7:D1625,4,0)</f>
        <v>21.930012872038066</v>
      </c>
      <c r="G16" s="14">
        <f t="shared" si="0"/>
        <v>70.180000000000007</v>
      </c>
      <c r="H16" s="14">
        <f t="shared" si="1"/>
        <v>27.6</v>
      </c>
      <c r="I16" s="15">
        <f t="shared" si="2"/>
        <v>88.32</v>
      </c>
    </row>
    <row r="17" spans="1:9" x14ac:dyDescent="0.25">
      <c r="A17" s="74">
        <v>7</v>
      </c>
      <c r="B17" s="11">
        <v>225615</v>
      </c>
      <c r="C17" s="12" t="str">
        <f>VLOOKUP(B17,'preço de mercado'!A8:D1626,2,0)</f>
        <v>CABO CU XLPE 1X 1,5MM2 1KV</v>
      </c>
      <c r="D17" s="12" t="str">
        <f>VLOOKUP(B17,'preço de mercado'!A8:D1626,3,0)</f>
        <v>M1</v>
      </c>
      <c r="E17" s="13">
        <v>36</v>
      </c>
      <c r="F17" s="12">
        <f>VLOOKUP(B17,'preço de mercado'!A8:D1626,4,0)</f>
        <v>1.90813720247424</v>
      </c>
      <c r="G17" s="14">
        <f t="shared" si="0"/>
        <v>68.69</v>
      </c>
      <c r="H17" s="14">
        <f t="shared" si="1"/>
        <v>2.4</v>
      </c>
      <c r="I17" s="15">
        <f t="shared" si="2"/>
        <v>86.4</v>
      </c>
    </row>
    <row r="18" spans="1:9" x14ac:dyDescent="0.25">
      <c r="A18" s="74">
        <v>8</v>
      </c>
      <c r="B18" s="11">
        <v>237719</v>
      </c>
      <c r="C18" s="12" t="str">
        <f>VLOOKUP(B18,'preço de mercado'!A9:D1627,2,0)</f>
        <v>CHAPA P/ ESTAI</v>
      </c>
      <c r="D18" s="12" t="str">
        <f>VLOOKUP(B18,'preço de mercado'!A9:D1627,3,0)</f>
        <v>PC</v>
      </c>
      <c r="E18" s="13">
        <v>2</v>
      </c>
      <c r="F18" s="12">
        <f>VLOOKUP(B18,'preço de mercado'!A9:D1627,4,0)</f>
        <v>7.7772416783310261</v>
      </c>
      <c r="G18" s="14">
        <f t="shared" si="0"/>
        <v>15.55</v>
      </c>
      <c r="H18" s="14">
        <f t="shared" si="1"/>
        <v>9.7899999999999991</v>
      </c>
      <c r="I18" s="15">
        <f t="shared" si="2"/>
        <v>19.579999999999998</v>
      </c>
    </row>
    <row r="19" spans="1:9" x14ac:dyDescent="0.25">
      <c r="A19" s="74">
        <v>9</v>
      </c>
      <c r="B19" s="11">
        <v>231175</v>
      </c>
      <c r="C19" s="12" t="str">
        <f>VLOOKUP(B19,'preço de mercado'!A10:D1628,2,0)</f>
        <v>CONECTOR ATERRAMENTO DE FERRAGEM</v>
      </c>
      <c r="D19" s="12" t="str">
        <f>VLOOKUP(B19,'preço de mercado'!A10:D1628,3,0)</f>
        <v>PC</v>
      </c>
      <c r="E19" s="13">
        <v>9</v>
      </c>
      <c r="F19" s="12">
        <f>VLOOKUP(B19,'preço de mercado'!A10:D1628,4,0)</f>
        <v>1.6458813784374962</v>
      </c>
      <c r="G19" s="14">
        <f t="shared" si="0"/>
        <v>14.81</v>
      </c>
      <c r="H19" s="14">
        <f t="shared" si="1"/>
        <v>2.0699999999999998</v>
      </c>
      <c r="I19" s="15">
        <f t="shared" si="2"/>
        <v>18.63</v>
      </c>
    </row>
    <row r="20" spans="1:9" x14ac:dyDescent="0.25">
      <c r="A20" s="74">
        <v>10</v>
      </c>
      <c r="B20" s="11">
        <v>230052</v>
      </c>
      <c r="C20" s="12" t="str">
        <f>VLOOKUP(B20,'preço de mercado'!A11:D1629,2,0)</f>
        <v>CONECTOR BORNE CB CU 6MM2</v>
      </c>
      <c r="D20" s="12" t="str">
        <f>VLOOKUP(B20,'preço de mercado'!A11:D1629,3,0)</f>
        <v>PC</v>
      </c>
      <c r="E20" s="13">
        <v>6</v>
      </c>
      <c r="F20" s="12">
        <f>VLOOKUP(B20,'preço de mercado'!A11:D1629,4,0)</f>
        <v>1.4017121629550107</v>
      </c>
      <c r="G20" s="14">
        <f t="shared" si="0"/>
        <v>8.41</v>
      </c>
      <c r="H20" s="14">
        <f t="shared" si="1"/>
        <v>1.76</v>
      </c>
      <c r="I20" s="15">
        <f t="shared" si="2"/>
        <v>10.56</v>
      </c>
    </row>
    <row r="21" spans="1:9" x14ac:dyDescent="0.25">
      <c r="A21" s="74">
        <v>11</v>
      </c>
      <c r="B21" s="11">
        <v>227769</v>
      </c>
      <c r="C21" s="12" t="str">
        <f>VLOOKUP(B21,'preço de mercado'!A12:D1630,2,0)</f>
        <v>CONECTOR H ITEM 1 CAA 13-34 / 13-34MM2</v>
      </c>
      <c r="D21" s="12" t="str">
        <f>VLOOKUP(B21,'preço de mercado'!A12:D1630,3,0)</f>
        <v>PC</v>
      </c>
      <c r="E21" s="13">
        <v>1</v>
      </c>
      <c r="F21" s="12">
        <f>VLOOKUP(B21,'preço de mercado'!A12:D1630,4,0)</f>
        <v>3.7258413621771895</v>
      </c>
      <c r="G21" s="14">
        <f t="shared" si="0"/>
        <v>3.73</v>
      </c>
      <c r="H21" s="14">
        <f t="shared" si="1"/>
        <v>4.6900000000000004</v>
      </c>
      <c r="I21" s="15">
        <f t="shared" si="2"/>
        <v>4.6900000000000004</v>
      </c>
    </row>
    <row r="22" spans="1:9" x14ac:dyDescent="0.25">
      <c r="A22" s="74">
        <v>12</v>
      </c>
      <c r="B22" s="11">
        <v>227777</v>
      </c>
      <c r="C22" s="12" t="str">
        <f>VLOOKUP(B22,'preço de mercado'!A13:D1631,2,0)</f>
        <v>CONECTOR H ITEM 2 CAA 27-54 / 13-34MM2</v>
      </c>
      <c r="D22" s="12" t="str">
        <f>VLOOKUP(B22,'preço de mercado'!A13:D1631,3,0)</f>
        <v>PC</v>
      </c>
      <c r="E22" s="13">
        <v>2</v>
      </c>
      <c r="F22" s="12">
        <f>VLOOKUP(B22,'preço de mercado'!A13:D1631,4,0)</f>
        <v>4.919557526758231</v>
      </c>
      <c r="G22" s="14">
        <f t="shared" si="0"/>
        <v>9.84</v>
      </c>
      <c r="H22" s="14">
        <f t="shared" si="1"/>
        <v>6.19</v>
      </c>
      <c r="I22" s="15">
        <f t="shared" si="2"/>
        <v>12.38</v>
      </c>
    </row>
    <row r="23" spans="1:9" x14ac:dyDescent="0.25">
      <c r="A23" s="74">
        <v>13</v>
      </c>
      <c r="B23" s="11">
        <v>379679</v>
      </c>
      <c r="C23" s="12" t="str">
        <f>VLOOKUP(B23,'preço de mercado'!A14:D1632,2,0)</f>
        <v>CONECTOR PERFURAÇÃO 35-120/1,5MM2</v>
      </c>
      <c r="D23" s="12" t="str">
        <f>VLOOKUP(B23,'preço de mercado'!A14:D1632,3,0)</f>
        <v>PC</v>
      </c>
      <c r="E23" s="13">
        <v>6</v>
      </c>
      <c r="F23" s="12">
        <f>VLOOKUP(B23,'preço de mercado'!A14:D1632,4,0)</f>
        <v>15.011885100034306</v>
      </c>
      <c r="G23" s="14">
        <f t="shared" si="0"/>
        <v>90.07</v>
      </c>
      <c r="H23" s="14">
        <f t="shared" si="1"/>
        <v>18.89</v>
      </c>
      <c r="I23" s="15">
        <f t="shared" si="2"/>
        <v>113.34</v>
      </c>
    </row>
    <row r="24" spans="1:9" x14ac:dyDescent="0.25">
      <c r="A24" s="74">
        <v>14</v>
      </c>
      <c r="B24" s="11">
        <v>227389</v>
      </c>
      <c r="C24" s="12" t="str">
        <f>VLOOKUP(B24,'preço de mercado'!A15:D1633,2,0)</f>
        <v>CONECTOR TERM COMP CB ACO 6.4MM 1 FURO</v>
      </c>
      <c r="D24" s="12" t="str">
        <f>VLOOKUP(B24,'preço de mercado'!A15:D1633,3,0)</f>
        <v>PC</v>
      </c>
      <c r="E24" s="13">
        <v>1</v>
      </c>
      <c r="F24" s="12">
        <f>VLOOKUP(B24,'preço de mercado'!A15:D1633,4,0)</f>
        <v>2.2427394607280169</v>
      </c>
      <c r="G24" s="14">
        <f t="shared" si="0"/>
        <v>2.2400000000000002</v>
      </c>
      <c r="H24" s="14">
        <f t="shared" si="1"/>
        <v>2.82</v>
      </c>
      <c r="I24" s="15">
        <f t="shared" si="2"/>
        <v>2.82</v>
      </c>
    </row>
    <row r="25" spans="1:9" x14ac:dyDescent="0.25">
      <c r="A25" s="74">
        <v>15</v>
      </c>
      <c r="B25" s="11">
        <v>222539</v>
      </c>
      <c r="C25" s="12" t="str">
        <f>VLOOKUP(B25,'preço de mercado'!A16:D1634,2,0)</f>
        <v>HASTE ATERRAMENTO 2400MM ACO</v>
      </c>
      <c r="D25" s="12" t="str">
        <f>VLOOKUP(B25,'preço de mercado'!A16:D1634,3,0)</f>
        <v>PC</v>
      </c>
      <c r="E25" s="13">
        <v>1</v>
      </c>
      <c r="F25" s="12">
        <f>VLOOKUP(B25,'preço de mercado'!A16:D1634,4,0)</f>
        <v>55.218415916150285</v>
      </c>
      <c r="G25" s="14">
        <f t="shared" si="0"/>
        <v>55.22</v>
      </c>
      <c r="H25" s="14">
        <f t="shared" si="1"/>
        <v>69.489999999999995</v>
      </c>
      <c r="I25" s="15">
        <f t="shared" si="2"/>
        <v>69.489999999999995</v>
      </c>
    </row>
    <row r="26" spans="1:9" x14ac:dyDescent="0.25">
      <c r="A26" s="74">
        <v>16</v>
      </c>
      <c r="B26" s="11">
        <v>352237</v>
      </c>
      <c r="C26" s="12" t="str">
        <f>VLOOKUP(B26,'preço de mercado'!A17:D1635,2,0)</f>
        <v>IDENTIFICADOR DE FASE A</v>
      </c>
      <c r="D26" s="12" t="str">
        <f>VLOOKUP(B26,'preço de mercado'!A17:D1635,3,0)</f>
        <v>PC</v>
      </c>
      <c r="E26" s="13">
        <v>3</v>
      </c>
      <c r="F26" s="12">
        <f>VLOOKUP(B26,'preço de mercado'!A17:D1635,4,0)</f>
        <v>1.1394563389182666</v>
      </c>
      <c r="G26" s="14">
        <f t="shared" si="0"/>
        <v>3.42</v>
      </c>
      <c r="H26" s="14">
        <f t="shared" si="1"/>
        <v>1.43</v>
      </c>
      <c r="I26" s="15">
        <f t="shared" si="2"/>
        <v>4.29</v>
      </c>
    </row>
    <row r="27" spans="1:9" x14ac:dyDescent="0.25">
      <c r="A27" s="74">
        <v>17</v>
      </c>
      <c r="B27" s="11">
        <v>352242</v>
      </c>
      <c r="C27" s="12" t="str">
        <f>VLOOKUP(B27,'preço de mercado'!A18:D1636,2,0)</f>
        <v>IDENTIFICADOR DE FASE B</v>
      </c>
      <c r="D27" s="12" t="str">
        <f>VLOOKUP(B27,'preço de mercado'!A18:D1636,3,0)</f>
        <v>PC</v>
      </c>
      <c r="E27" s="13">
        <v>3</v>
      </c>
      <c r="F27" s="12">
        <f>VLOOKUP(B27,'preço de mercado'!A18:D1636,4,0)</f>
        <v>1.1394563389182666</v>
      </c>
      <c r="G27" s="14">
        <f t="shared" si="0"/>
        <v>3.42</v>
      </c>
      <c r="H27" s="14">
        <f t="shared" si="1"/>
        <v>1.43</v>
      </c>
      <c r="I27" s="15">
        <f t="shared" si="2"/>
        <v>4.29</v>
      </c>
    </row>
    <row r="28" spans="1:9" x14ac:dyDescent="0.25">
      <c r="A28" s="74">
        <v>18</v>
      </c>
      <c r="B28" s="11">
        <v>376238</v>
      </c>
      <c r="C28" s="12" t="str">
        <f>VLOOKUP(B28,'preço de mercado'!A19:D1637,2,0)</f>
        <v>LAMPADA VS  100W AP E-40 TUBULAR</v>
      </c>
      <c r="D28" s="12" t="str">
        <f>VLOOKUP(B28,'preço de mercado'!A19:D1637,3,0)</f>
        <v>PC</v>
      </c>
      <c r="E28" s="13">
        <v>3</v>
      </c>
      <c r="F28" s="12">
        <f>VLOOKUP(B28,'preço de mercado'!A19:D1637,4,0)</f>
        <v>27.138956135664429</v>
      </c>
      <c r="G28" s="14">
        <f t="shared" si="0"/>
        <v>81.42</v>
      </c>
      <c r="H28" s="14">
        <f t="shared" si="1"/>
        <v>34.15</v>
      </c>
      <c r="I28" s="15">
        <f t="shared" si="2"/>
        <v>102.45</v>
      </c>
    </row>
    <row r="29" spans="1:9" x14ac:dyDescent="0.25">
      <c r="A29" s="74">
        <v>19</v>
      </c>
      <c r="B29" s="11">
        <v>376109</v>
      </c>
      <c r="C29" s="12" t="str">
        <f>VLOOKUP(B29,'preço de mercado'!A20:D1638,2,0)</f>
        <v>LUMINARIA C/EQUIP VS100W VIDRO PLANO</v>
      </c>
      <c r="D29" s="12" t="str">
        <f>VLOOKUP(B29,'preço de mercado'!A20:D1638,3,0)</f>
        <v>PC</v>
      </c>
      <c r="E29" s="13">
        <v>3</v>
      </c>
      <c r="F29" s="12">
        <f>VLOOKUP(B29,'preço de mercado'!A20:D1638,4,0)</f>
        <v>393.38373605511583</v>
      </c>
      <c r="G29" s="14">
        <f t="shared" si="0"/>
        <v>1180.1500000000001</v>
      </c>
      <c r="H29" s="14">
        <f t="shared" si="1"/>
        <v>495.05</v>
      </c>
      <c r="I29" s="15">
        <f t="shared" si="2"/>
        <v>1485.15</v>
      </c>
    </row>
    <row r="30" spans="1:9" x14ac:dyDescent="0.25">
      <c r="A30" s="74">
        <v>20</v>
      </c>
      <c r="B30" s="11">
        <v>237289</v>
      </c>
      <c r="C30" s="12" t="str">
        <f>VLOOKUP(B30,'preço de mercado'!A21:D1639,2,0)</f>
        <v>OLHAL P/ PARAFUSO CL 50KN</v>
      </c>
      <c r="D30" s="12" t="str">
        <f>VLOOKUP(B30,'preço de mercado'!A21:D1639,3,0)</f>
        <v>PC</v>
      </c>
      <c r="E30" s="13">
        <v>3</v>
      </c>
      <c r="F30" s="12">
        <f>VLOOKUP(B30,'preço de mercado'!A21:D1639,4,0)</f>
        <v>21.450717745350225</v>
      </c>
      <c r="G30" s="14">
        <f t="shared" si="0"/>
        <v>64.349999999999994</v>
      </c>
      <c r="H30" s="14">
        <f t="shared" si="1"/>
        <v>26.99</v>
      </c>
      <c r="I30" s="15">
        <f t="shared" si="2"/>
        <v>80.97</v>
      </c>
    </row>
    <row r="31" spans="1:9" x14ac:dyDescent="0.25">
      <c r="A31" s="74">
        <v>21</v>
      </c>
      <c r="B31" s="11">
        <v>74823</v>
      </c>
      <c r="C31" s="12" t="str">
        <f>VLOOKUP(B31,'preço de mercado'!A22:D1640,2,0)</f>
        <v>PARAFUSO CABECA QUADRADA M16X250MM</v>
      </c>
      <c r="D31" s="12" t="str">
        <f>VLOOKUP(B31,'preço de mercado'!A22:D1640,3,0)</f>
        <v>PC</v>
      </c>
      <c r="E31" s="13">
        <v>8</v>
      </c>
      <c r="F31" s="12">
        <f>VLOOKUP(B31,'preço de mercado'!A22:D1640,4,0)</f>
        <v>7.1442103789319891</v>
      </c>
      <c r="G31" s="14">
        <f t="shared" si="0"/>
        <v>57.15</v>
      </c>
      <c r="H31" s="14">
        <f t="shared" si="1"/>
        <v>8.99</v>
      </c>
      <c r="I31" s="15">
        <f t="shared" si="2"/>
        <v>71.92</v>
      </c>
    </row>
    <row r="32" spans="1:9" x14ac:dyDescent="0.25">
      <c r="A32" s="74">
        <v>22</v>
      </c>
      <c r="B32" s="11">
        <v>74831</v>
      </c>
      <c r="C32" s="12" t="str">
        <f>VLOOKUP(B32,'preço de mercado'!A23:D1641,2,0)</f>
        <v>PARAFUSO CABECA QUADRADA M16X300MM</v>
      </c>
      <c r="D32" s="12" t="str">
        <f>VLOOKUP(B32,'preço de mercado'!A23:D1641,3,0)</f>
        <v>PC</v>
      </c>
      <c r="E32" s="13">
        <v>2</v>
      </c>
      <c r="F32" s="12">
        <f>VLOOKUP(B32,'preço de mercado'!A23:D1641,4,0)</f>
        <v>8.5278359333327405</v>
      </c>
      <c r="G32" s="14">
        <f t="shared" si="0"/>
        <v>17.059999999999999</v>
      </c>
      <c r="H32" s="14">
        <f t="shared" si="1"/>
        <v>10.73</v>
      </c>
      <c r="I32" s="15">
        <f t="shared" si="2"/>
        <v>21.46</v>
      </c>
    </row>
    <row r="33" spans="1:9" x14ac:dyDescent="0.25">
      <c r="A33" s="74">
        <v>23</v>
      </c>
      <c r="B33" s="11">
        <v>207373</v>
      </c>
      <c r="C33" s="12" t="str">
        <f>VLOOKUP(B33,'preço de mercado'!A24:D1642,2,0)</f>
        <v>POSTE CONCRETO DUPLO T 11M 300DAN</v>
      </c>
      <c r="D33" s="12" t="str">
        <f>VLOOKUP(B33,'preço de mercado'!A24:D1642,3,0)</f>
        <v>PC</v>
      </c>
      <c r="E33" s="13">
        <v>1</v>
      </c>
      <c r="F33" s="12">
        <f>VLOOKUP(B33,'preço de mercado'!A24:D1642,4,0)</f>
        <v>872.90494534988636</v>
      </c>
      <c r="G33" s="14">
        <f t="shared" si="0"/>
        <v>872.9</v>
      </c>
      <c r="H33" s="14">
        <f t="shared" si="1"/>
        <v>1098.49</v>
      </c>
      <c r="I33" s="15">
        <f t="shared" si="2"/>
        <v>1098.49</v>
      </c>
    </row>
    <row r="34" spans="1:9" x14ac:dyDescent="0.25">
      <c r="A34" s="74">
        <v>24</v>
      </c>
      <c r="B34" s="11">
        <v>327361</v>
      </c>
      <c r="C34" s="12" t="str">
        <f>VLOOKUP(B34,'preço de mercado'!A25:D1643,2,0)</f>
        <v>RELE FOTOELETRONICO</v>
      </c>
      <c r="D34" s="12" t="str">
        <f>VLOOKUP(B34,'preço de mercado'!A25:D1643,3,0)</f>
        <v>PC</v>
      </c>
      <c r="E34" s="13">
        <v>3</v>
      </c>
      <c r="F34" s="12">
        <f>VLOOKUP(B34,'preço de mercado'!A25:D1643,4,0)</f>
        <v>27.771987435063465</v>
      </c>
      <c r="G34" s="14">
        <f t="shared" si="0"/>
        <v>83.32</v>
      </c>
      <c r="H34" s="14">
        <f t="shared" si="1"/>
        <v>34.950000000000003</v>
      </c>
      <c r="I34" s="15">
        <f t="shared" si="2"/>
        <v>104.85</v>
      </c>
    </row>
    <row r="35" spans="1:9" x14ac:dyDescent="0.25">
      <c r="A35" s="74">
        <v>25</v>
      </c>
      <c r="B35" s="11">
        <v>237768</v>
      </c>
      <c r="C35" s="12" t="str">
        <f>VLOOKUP(B35,'preço de mercado'!A26:D1644,2,0)</f>
        <v>SAPATILHA</v>
      </c>
      <c r="D35" s="12" t="str">
        <f>VLOOKUP(B35,'preço de mercado'!A26:D1644,3,0)</f>
        <v>PC</v>
      </c>
      <c r="E35" s="13">
        <v>1</v>
      </c>
      <c r="F35" s="12">
        <f>VLOOKUP(B35,'preço de mercado'!A26:D1644,4,0)</f>
        <v>1.8357907682572072</v>
      </c>
      <c r="G35" s="14">
        <f t="shared" si="0"/>
        <v>1.84</v>
      </c>
      <c r="H35" s="14">
        <f t="shared" si="1"/>
        <v>2.31</v>
      </c>
      <c r="I35" s="15">
        <f t="shared" si="2"/>
        <v>2.31</v>
      </c>
    </row>
    <row r="36" spans="1:9" x14ac:dyDescent="0.25">
      <c r="A36" s="83" t="s">
        <v>1709</v>
      </c>
      <c r="B36" s="83"/>
      <c r="C36" s="83"/>
      <c r="D36" s="83"/>
      <c r="E36" s="83"/>
      <c r="F36" s="84">
        <f>ROUND(SUM(G11:G35),2)</f>
        <v>3287.87</v>
      </c>
      <c r="G36" s="84"/>
      <c r="H36" s="79">
        <f>ROUND(SUM(I11:I35),2)</f>
        <v>4137.41</v>
      </c>
      <c r="I36" s="79"/>
    </row>
    <row r="37" spans="1:9" x14ac:dyDescent="0.25">
      <c r="A37" s="85" t="s">
        <v>1710</v>
      </c>
      <c r="B37" s="85"/>
      <c r="C37" s="85"/>
      <c r="D37" s="85"/>
      <c r="E37" s="85"/>
      <c r="F37" s="82" t="s">
        <v>1705</v>
      </c>
      <c r="G37" s="82"/>
      <c r="H37" s="82" t="s">
        <v>1706</v>
      </c>
      <c r="I37" s="82"/>
    </row>
    <row r="38" spans="1:9" x14ac:dyDescent="0.25">
      <c r="A38" s="16" t="s">
        <v>1700</v>
      </c>
      <c r="B38" s="16" t="s">
        <v>1711</v>
      </c>
      <c r="C38" s="16" t="s">
        <v>1702</v>
      </c>
      <c r="D38" s="16" t="s">
        <v>103</v>
      </c>
      <c r="E38" s="16" t="s">
        <v>1704</v>
      </c>
      <c r="F38" s="17" t="s">
        <v>1712</v>
      </c>
      <c r="G38" s="17" t="s">
        <v>1713</v>
      </c>
      <c r="H38" s="17" t="s">
        <v>1712</v>
      </c>
      <c r="I38" s="17" t="s">
        <v>1713</v>
      </c>
    </row>
    <row r="39" spans="1:9" x14ac:dyDescent="0.25">
      <c r="A39" s="16">
        <v>1</v>
      </c>
      <c r="B39" s="18" t="s">
        <v>1714</v>
      </c>
      <c r="C39" s="16" t="s">
        <v>1715</v>
      </c>
      <c r="D39" s="16" t="s">
        <v>1132</v>
      </c>
      <c r="E39" s="19">
        <v>2.2000000000000002</v>
      </c>
      <c r="F39" s="20">
        <f>US_</f>
        <v>1250</v>
      </c>
      <c r="G39" s="20">
        <f>ROUND(E39*F39,2)</f>
        <v>2750</v>
      </c>
      <c r="H39" s="14">
        <f>F39*(1+$I$7)</f>
        <v>1573.0416243137254</v>
      </c>
      <c r="I39" s="21">
        <f>ROUND(H39*E39,2)</f>
        <v>3460.69</v>
      </c>
    </row>
    <row r="40" spans="1:9" x14ac:dyDescent="0.25">
      <c r="A40" s="22">
        <v>2</v>
      </c>
      <c r="B40" s="71" t="s">
        <v>1769</v>
      </c>
      <c r="C40" s="70" t="s">
        <v>1768</v>
      </c>
      <c r="D40" s="22" t="s">
        <v>1132</v>
      </c>
      <c r="E40" s="23">
        <v>3.4</v>
      </c>
      <c r="F40" s="20">
        <v>70</v>
      </c>
      <c r="G40" s="20">
        <f>ROUND(E40*F40,2)</f>
        <v>238</v>
      </c>
      <c r="H40" s="14">
        <f>F40*(1+$I$7)</f>
        <v>88.090330961568625</v>
      </c>
      <c r="I40" s="21">
        <f>ROUND(H40*E40,2)</f>
        <v>299.51</v>
      </c>
    </row>
    <row r="41" spans="1:9" x14ac:dyDescent="0.25">
      <c r="A41" s="80" t="s">
        <v>1716</v>
      </c>
      <c r="B41" s="80"/>
      <c r="C41" s="80"/>
      <c r="D41" s="80"/>
      <c r="E41" s="80"/>
      <c r="F41" s="81">
        <f>SUM(G39:G40)</f>
        <v>2988</v>
      </c>
      <c r="G41" s="81"/>
      <c r="H41" s="79">
        <f>SUM(I39:I40)</f>
        <v>3760.2</v>
      </c>
      <c r="I41" s="79"/>
    </row>
    <row r="42" spans="1:9" x14ac:dyDescent="0.25">
      <c r="A42" s="77" t="s">
        <v>1717</v>
      </c>
      <c r="B42" s="77"/>
      <c r="C42" s="77"/>
      <c r="D42" s="77"/>
      <c r="E42" s="77"/>
      <c r="F42" s="82" t="s">
        <v>1705</v>
      </c>
      <c r="G42" s="82"/>
      <c r="H42" s="82" t="s">
        <v>1706</v>
      </c>
      <c r="I42" s="82"/>
    </row>
    <row r="43" spans="1:9" x14ac:dyDescent="0.25">
      <c r="A43" s="77" t="s">
        <v>1709</v>
      </c>
      <c r="B43" s="77"/>
      <c r="C43" s="77"/>
      <c r="D43" s="77"/>
      <c r="E43" s="77"/>
      <c r="F43" s="78">
        <f>ROUND(F36,2)</f>
        <v>3287.87</v>
      </c>
      <c r="G43" s="78"/>
      <c r="H43" s="79">
        <f>ROUND(H36,2)</f>
        <v>4137.41</v>
      </c>
      <c r="I43" s="79"/>
    </row>
    <row r="44" spans="1:9" x14ac:dyDescent="0.25">
      <c r="A44" s="77" t="s">
        <v>1716</v>
      </c>
      <c r="B44" s="77"/>
      <c r="C44" s="77"/>
      <c r="D44" s="77"/>
      <c r="E44" s="77"/>
      <c r="F44" s="78">
        <f>ROUND(F41,2)</f>
        <v>2988</v>
      </c>
      <c r="G44" s="78"/>
      <c r="H44" s="79">
        <f>H41</f>
        <v>3760.2</v>
      </c>
      <c r="I44" s="79"/>
    </row>
    <row r="45" spans="1:9" x14ac:dyDescent="0.25">
      <c r="A45" s="76" t="s">
        <v>1718</v>
      </c>
      <c r="B45" s="77"/>
      <c r="C45" s="77"/>
      <c r="D45" s="77"/>
      <c r="E45" s="77"/>
      <c r="F45" s="78">
        <f>ROUND(SUM(F43:G44),2)</f>
        <v>6275.87</v>
      </c>
      <c r="G45" s="78"/>
      <c r="H45" s="79">
        <f>SUM(H43:I44)</f>
        <v>7897.61</v>
      </c>
      <c r="I45" s="79"/>
    </row>
    <row r="46" spans="1:9" x14ac:dyDescent="0.25">
      <c r="A46" s="24"/>
      <c r="B46" s="25"/>
      <c r="D46" s="26"/>
      <c r="H46" s="27"/>
    </row>
    <row r="47" spans="1:9" x14ac:dyDescent="0.25">
      <c r="A47" s="24"/>
      <c r="B47" s="25"/>
      <c r="D47" s="26"/>
      <c r="H47" s="27"/>
    </row>
    <row r="48" spans="1:9" x14ac:dyDescent="0.25">
      <c r="A48" s="75"/>
      <c r="B48" s="75"/>
      <c r="C48" s="75"/>
      <c r="D48" s="75"/>
      <c r="E48" s="75"/>
      <c r="F48" s="75"/>
      <c r="G48" s="75"/>
      <c r="H48" s="75"/>
      <c r="I48" s="75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  <row r="50" spans="1:9" x14ac:dyDescent="0.25">
      <c r="A50" s="75"/>
      <c r="B50" s="75"/>
      <c r="C50" s="75"/>
      <c r="D50" s="75"/>
      <c r="E50" s="75"/>
      <c r="F50" s="75"/>
      <c r="G50" s="75"/>
      <c r="H50" s="27"/>
    </row>
    <row r="51" spans="1:9" x14ac:dyDescent="0.25">
      <c r="A51" s="75"/>
      <c r="B51" s="75"/>
      <c r="C51" s="75"/>
      <c r="D51" s="75"/>
      <c r="E51" s="75"/>
      <c r="F51" s="75"/>
      <c r="G51" s="75"/>
      <c r="H51" s="75"/>
      <c r="I51" s="75"/>
    </row>
    <row r="52" spans="1:9" x14ac:dyDescent="0.25">
      <c r="A52" s="75"/>
      <c r="B52" s="75"/>
      <c r="C52" s="75"/>
      <c r="D52" s="75"/>
      <c r="E52" s="75"/>
      <c r="F52" s="75"/>
      <c r="G52" s="75"/>
      <c r="H52" s="75"/>
      <c r="I52" s="75"/>
    </row>
    <row r="53" spans="1:9" x14ac:dyDescent="0.25">
      <c r="A53" s="75"/>
      <c r="B53" s="75"/>
      <c r="C53" s="75"/>
      <c r="D53" s="75"/>
      <c r="E53" s="75"/>
      <c r="F53" s="75"/>
      <c r="G53" s="75"/>
      <c r="H53" s="75"/>
      <c r="I53" s="75"/>
    </row>
  </sheetData>
  <mergeCells count="41">
    <mergeCell ref="A1:I1"/>
    <mergeCell ref="A2:I2"/>
    <mergeCell ref="A4:I4"/>
    <mergeCell ref="A5:I5"/>
    <mergeCell ref="A6:I6"/>
    <mergeCell ref="G3:I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36:E36"/>
    <mergeCell ref="F36:G36"/>
    <mergeCell ref="H36:I36"/>
    <mergeCell ref="A37:E37"/>
    <mergeCell ref="F37:G37"/>
    <mergeCell ref="H37:I37"/>
    <mergeCell ref="A41:E41"/>
    <mergeCell ref="F41:G41"/>
    <mergeCell ref="H41:I41"/>
    <mergeCell ref="A42:E42"/>
    <mergeCell ref="F42:G42"/>
    <mergeCell ref="H42:I42"/>
    <mergeCell ref="A43:E43"/>
    <mergeCell ref="F43:G43"/>
    <mergeCell ref="H43:I43"/>
    <mergeCell ref="A44:E44"/>
    <mergeCell ref="F44:G44"/>
    <mergeCell ref="H44:I44"/>
    <mergeCell ref="A52:I52"/>
    <mergeCell ref="A53:I53"/>
    <mergeCell ref="A45:E45"/>
    <mergeCell ref="F45:G45"/>
    <mergeCell ref="H45:I45"/>
    <mergeCell ref="A48:I48"/>
    <mergeCell ref="A50:G50"/>
    <mergeCell ref="A51:I51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F24:I35 C24:D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35" t="s">
        <v>1780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75" customHeight="1" x14ac:dyDescent="0.25">
      <c r="A2" s="136" t="s">
        <v>1781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4" customHeight="1" thickBot="1" x14ac:dyDescent="0.3">
      <c r="A3" s="73"/>
      <c r="B3" s="73"/>
      <c r="C3" s="73"/>
      <c r="D3" s="73"/>
      <c r="E3" s="73"/>
      <c r="F3" s="73"/>
      <c r="G3" s="136" t="s">
        <v>1778</v>
      </c>
      <c r="H3" s="136"/>
      <c r="I3" s="136"/>
      <c r="J3" s="136"/>
    </row>
    <row r="4" spans="1:10" ht="20.25" x14ac:dyDescent="0.3">
      <c r="A4" s="137" t="s">
        <v>1723</v>
      </c>
      <c r="B4" s="138"/>
      <c r="C4" s="138"/>
      <c r="D4" s="138"/>
      <c r="E4" s="138"/>
      <c r="F4" s="138"/>
      <c r="G4" s="138"/>
      <c r="H4" s="138"/>
      <c r="I4" s="138"/>
      <c r="J4" s="139"/>
    </row>
    <row r="5" spans="1:10" ht="21" customHeight="1" thickBot="1" x14ac:dyDescent="0.35">
      <c r="A5" s="140" t="s">
        <v>1724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1" thickBo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 x14ac:dyDescent="0.25">
      <c r="A7" s="143" t="str">
        <f>'ITEM 6'!A5:I5</f>
        <v>OBJETO: PROJETO DE MODIFICAÇÃO E EXTENSÃO DE RDU PARA ILUMINAÇÃO PÚBLICA</v>
      </c>
      <c r="B7" s="144"/>
      <c r="C7" s="144"/>
      <c r="D7" s="144"/>
      <c r="E7" s="144"/>
      <c r="F7" s="144"/>
      <c r="G7" s="144"/>
      <c r="H7" s="144"/>
      <c r="I7" s="144"/>
      <c r="J7" s="145"/>
    </row>
    <row r="8" spans="1:10" ht="15.75" customHeight="1" thickBot="1" x14ac:dyDescent="0.3">
      <c r="A8" s="132" t="str">
        <f>'ITEM 6'!A6:I6</f>
        <v>LOCAL: RUA AIMORÉS – BAIRRO ALVORADA</v>
      </c>
      <c r="B8" s="133"/>
      <c r="C8" s="133"/>
      <c r="D8" s="133"/>
      <c r="E8" s="133"/>
      <c r="F8" s="133"/>
      <c r="G8" s="133"/>
      <c r="H8" s="133"/>
      <c r="I8" s="133"/>
      <c r="J8" s="134"/>
    </row>
    <row r="9" spans="1:10" ht="15.75" thickBot="1" x14ac:dyDescent="0.3">
      <c r="A9" s="30"/>
      <c r="B9" s="30"/>
      <c r="C9" s="30"/>
      <c r="D9" s="30"/>
      <c r="E9" s="30"/>
      <c r="F9" s="30"/>
      <c r="G9" s="30"/>
      <c r="H9" s="30"/>
      <c r="I9" s="30" t="s">
        <v>1725</v>
      </c>
      <c r="J9" s="30"/>
    </row>
    <row r="10" spans="1:10" x14ac:dyDescent="0.25">
      <c r="A10" s="31" t="s">
        <v>1726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10" ht="15.75" thickBot="1" x14ac:dyDescent="0.3">
      <c r="A11" s="34"/>
      <c r="B11" s="30"/>
      <c r="C11" s="30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34"/>
      <c r="B12" s="36">
        <v>5.8500000000000003E-2</v>
      </c>
      <c r="C12" s="30"/>
      <c r="D12" s="30"/>
      <c r="E12" s="30"/>
      <c r="F12" s="30"/>
      <c r="G12" s="30"/>
      <c r="H12" s="30"/>
      <c r="I12" s="30"/>
      <c r="J12" s="35"/>
    </row>
    <row r="13" spans="1:10" ht="15.75" thickBot="1" x14ac:dyDescent="0.3">
      <c r="A13" s="34"/>
      <c r="B13" s="30"/>
      <c r="C13" s="30"/>
      <c r="D13" s="30"/>
      <c r="E13" s="37"/>
      <c r="F13" s="38" t="s">
        <v>1727</v>
      </c>
      <c r="G13" s="32"/>
      <c r="H13" s="32"/>
      <c r="I13" s="39"/>
      <c r="J13" s="40">
        <f>1+B12+B16+B21</f>
        <v>1.0831999999999999</v>
      </c>
    </row>
    <row r="14" spans="1:10" ht="15.75" thickBot="1" x14ac:dyDescent="0.3">
      <c r="A14" s="34" t="s">
        <v>1728</v>
      </c>
      <c r="B14" s="30"/>
      <c r="C14" s="30"/>
      <c r="D14" s="30"/>
      <c r="E14" s="37"/>
      <c r="F14" s="41" t="s">
        <v>1729</v>
      </c>
      <c r="G14" s="30"/>
      <c r="H14" s="30"/>
      <c r="I14" s="42"/>
      <c r="J14" s="40">
        <f>1+B25</f>
        <v>1.0111000000000001</v>
      </c>
    </row>
    <row r="15" spans="1:10" ht="15.75" thickBot="1" x14ac:dyDescent="0.3">
      <c r="A15" s="34"/>
      <c r="B15" s="30"/>
      <c r="C15" s="30"/>
      <c r="D15" s="30"/>
      <c r="E15" s="37"/>
      <c r="F15" s="41" t="s">
        <v>1730</v>
      </c>
      <c r="G15" s="30"/>
      <c r="H15" s="30"/>
      <c r="I15" s="42"/>
      <c r="J15" s="40">
        <f>1+B29</f>
        <v>1.0841000000000001</v>
      </c>
    </row>
    <row r="16" spans="1:10" ht="15.75" thickBot="1" x14ac:dyDescent="0.3">
      <c r="A16" s="34"/>
      <c r="B16" s="36">
        <v>5.0000000000000001E-3</v>
      </c>
      <c r="C16" s="30"/>
      <c r="D16" s="30"/>
      <c r="E16" s="37"/>
      <c r="F16" s="41" t="s">
        <v>1731</v>
      </c>
      <c r="G16" s="30"/>
      <c r="H16" s="30"/>
      <c r="I16" s="42"/>
      <c r="J16" s="40">
        <f>1-C35-E35-G35-C37</f>
        <v>0.89849999999999997</v>
      </c>
    </row>
    <row r="17" spans="1:10" ht="15.75" thickBot="1" x14ac:dyDescent="0.3">
      <c r="A17" s="34"/>
      <c r="B17" s="30"/>
      <c r="C17" s="30"/>
      <c r="D17" s="30"/>
      <c r="E17" s="30"/>
      <c r="F17" s="43" t="s">
        <v>1732</v>
      </c>
      <c r="G17" s="44"/>
      <c r="H17" s="44"/>
      <c r="I17" s="45"/>
      <c r="J17" s="40">
        <f>1-C35-E35-G35</f>
        <v>0.94350000000000001</v>
      </c>
    </row>
    <row r="18" spans="1:10" x14ac:dyDescent="0.25">
      <c r="A18" s="34"/>
      <c r="B18" s="30"/>
      <c r="C18" s="30"/>
      <c r="D18" s="30"/>
      <c r="E18" s="30"/>
      <c r="F18" s="30"/>
      <c r="G18" s="30"/>
      <c r="H18" s="30"/>
      <c r="I18" s="30"/>
      <c r="J18" s="35"/>
    </row>
    <row r="19" spans="1:10" x14ac:dyDescent="0.25">
      <c r="A19" s="34" t="s">
        <v>1733</v>
      </c>
      <c r="B19" s="30"/>
      <c r="C19" s="30"/>
      <c r="D19" s="30"/>
      <c r="E19" s="30"/>
      <c r="F19" s="30"/>
      <c r="G19" s="30"/>
      <c r="H19" s="30"/>
      <c r="I19" s="30"/>
      <c r="J19" s="35"/>
    </row>
    <row r="20" spans="1:10" ht="15.75" thickBot="1" x14ac:dyDescent="0.3">
      <c r="A20" s="34"/>
      <c r="B20" s="30"/>
      <c r="C20" s="30"/>
      <c r="D20" s="30"/>
      <c r="E20" s="30"/>
      <c r="F20" s="30"/>
      <c r="G20" s="30"/>
      <c r="H20" s="30"/>
      <c r="I20" s="30"/>
      <c r="J20" s="35"/>
    </row>
    <row r="21" spans="1:10" ht="15.75" thickBot="1" x14ac:dyDescent="0.3">
      <c r="A21" s="34"/>
      <c r="B21" s="36">
        <v>1.9699999999999999E-2</v>
      </c>
      <c r="C21" s="46"/>
      <c r="D21" s="30"/>
      <c r="E21" s="30"/>
      <c r="F21" s="30"/>
      <c r="G21" s="30"/>
      <c r="H21" s="30"/>
      <c r="I21" s="30"/>
      <c r="J21" s="35"/>
    </row>
    <row r="22" spans="1:10" x14ac:dyDescent="0.25">
      <c r="A22" s="34"/>
      <c r="B22" s="30"/>
      <c r="C22" s="30"/>
      <c r="D22" s="30"/>
      <c r="E22" s="30"/>
      <c r="F22" s="30"/>
      <c r="G22" s="30"/>
      <c r="H22" s="30"/>
      <c r="I22" s="30"/>
      <c r="J22" s="35"/>
    </row>
    <row r="23" spans="1:10" x14ac:dyDescent="0.25">
      <c r="A23" s="34" t="s">
        <v>1734</v>
      </c>
      <c r="B23" s="30"/>
      <c r="C23" s="30"/>
      <c r="D23" s="30"/>
      <c r="E23" s="30"/>
      <c r="F23" s="30"/>
      <c r="G23" s="30"/>
      <c r="H23" s="30"/>
      <c r="I23" s="30"/>
      <c r="J23" s="35"/>
    </row>
    <row r="24" spans="1:10" ht="15.75" thickBot="1" x14ac:dyDescent="0.3">
      <c r="A24" s="34"/>
      <c r="B24" s="30"/>
      <c r="C24" s="30"/>
      <c r="D24" s="30"/>
      <c r="E24" s="30"/>
      <c r="F24" s="30"/>
      <c r="G24" s="30"/>
      <c r="H24" s="30"/>
      <c r="I24" s="30"/>
      <c r="J24" s="35"/>
    </row>
    <row r="25" spans="1:10" ht="15.75" thickBot="1" x14ac:dyDescent="0.3">
      <c r="A25" s="34"/>
      <c r="B25" s="36">
        <v>1.11E-2</v>
      </c>
      <c r="C25" s="30"/>
      <c r="D25" s="30"/>
      <c r="E25" s="30"/>
      <c r="F25" s="30"/>
      <c r="G25" s="30"/>
      <c r="H25" s="30"/>
      <c r="I25" s="30"/>
      <c r="J25" s="35"/>
    </row>
    <row r="26" spans="1:10" x14ac:dyDescent="0.25">
      <c r="A26" s="34"/>
      <c r="B26" s="30"/>
      <c r="C26" s="30"/>
      <c r="D26" s="30"/>
      <c r="E26" s="30"/>
      <c r="F26" s="30"/>
      <c r="G26" s="30"/>
      <c r="H26" s="30"/>
      <c r="I26" s="30"/>
      <c r="J26" s="35"/>
    </row>
    <row r="27" spans="1:10" x14ac:dyDescent="0.25">
      <c r="A27" s="34" t="s">
        <v>1735</v>
      </c>
      <c r="B27" s="30"/>
      <c r="C27" s="30"/>
      <c r="D27" s="30"/>
      <c r="E27" s="30"/>
      <c r="F27" s="30"/>
      <c r="G27" s="30"/>
      <c r="H27" s="30"/>
      <c r="I27" s="30"/>
      <c r="J27" s="35"/>
    </row>
    <row r="28" spans="1:10" ht="15.75" thickBot="1" x14ac:dyDescent="0.3">
      <c r="A28" s="34"/>
      <c r="B28" s="30"/>
      <c r="C28" s="30"/>
      <c r="D28" s="30"/>
      <c r="E28" s="30"/>
      <c r="F28" s="30"/>
      <c r="G28" s="30"/>
      <c r="H28" s="30"/>
      <c r="I28" s="30"/>
      <c r="J28" s="35"/>
    </row>
    <row r="29" spans="1:10" ht="15.75" thickBot="1" x14ac:dyDescent="0.3">
      <c r="A29" s="34"/>
      <c r="B29" s="36">
        <v>8.4099999999999994E-2</v>
      </c>
      <c r="C29" s="30"/>
      <c r="D29" s="30"/>
      <c r="E29" s="30"/>
      <c r="F29" s="30"/>
      <c r="G29" s="30"/>
      <c r="H29" s="30"/>
      <c r="I29" s="30"/>
      <c r="J29" s="35"/>
    </row>
    <row r="30" spans="1:10" x14ac:dyDescent="0.25">
      <c r="A30" s="34"/>
      <c r="B30" s="47"/>
      <c r="C30" s="30"/>
      <c r="D30" s="30"/>
      <c r="E30" s="30"/>
      <c r="F30" s="30"/>
      <c r="G30" s="30"/>
      <c r="H30" s="30"/>
      <c r="I30" s="30"/>
      <c r="J30" s="35"/>
    </row>
    <row r="31" spans="1:10" ht="16.5" customHeight="1" x14ac:dyDescent="0.25">
      <c r="A31" s="34" t="s">
        <v>1736</v>
      </c>
      <c r="B31" s="30"/>
      <c r="C31" s="30"/>
      <c r="D31" s="30"/>
      <c r="E31" s="30"/>
      <c r="F31" s="30"/>
      <c r="G31" s="30"/>
      <c r="H31" s="30"/>
      <c r="I31" s="30"/>
      <c r="J31" s="35"/>
    </row>
    <row r="32" spans="1:10" ht="34.5" customHeight="1" x14ac:dyDescent="0.25">
      <c r="A32" s="109" t="s">
        <v>1737</v>
      </c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 x14ac:dyDescent="0.25">
      <c r="A33" s="34"/>
      <c r="B33" s="30"/>
      <c r="C33" s="30"/>
      <c r="D33" s="30"/>
      <c r="E33" s="30"/>
      <c r="F33" s="30"/>
      <c r="G33" s="30"/>
      <c r="H33" s="30"/>
      <c r="I33" s="30"/>
      <c r="J33" s="35"/>
    </row>
    <row r="34" spans="1:10" ht="15.75" thickBot="1" x14ac:dyDescent="0.3">
      <c r="A34" s="34"/>
      <c r="B34" s="30"/>
      <c r="C34" s="30"/>
      <c r="D34" s="30"/>
      <c r="E34" s="30"/>
      <c r="F34" s="30"/>
      <c r="G34" s="30"/>
      <c r="H34" s="30"/>
      <c r="I34" s="30"/>
      <c r="J34" s="35"/>
    </row>
    <row r="35" spans="1:10" ht="15.75" thickBot="1" x14ac:dyDescent="0.3">
      <c r="A35" s="34"/>
      <c r="B35" s="48" t="s">
        <v>1738</v>
      </c>
      <c r="C35" s="49">
        <v>0.03</v>
      </c>
      <c r="D35" s="48" t="s">
        <v>1739</v>
      </c>
      <c r="E35" s="49">
        <v>6.4999999999999997E-3</v>
      </c>
      <c r="F35" s="48" t="s">
        <v>1740</v>
      </c>
      <c r="G35" s="49">
        <v>0.02</v>
      </c>
      <c r="H35" s="30"/>
      <c r="I35" s="30"/>
      <c r="J35" s="35"/>
    </row>
    <row r="36" spans="1:10" ht="15.75" thickBot="1" x14ac:dyDescent="0.3">
      <c r="A36" s="34"/>
      <c r="B36" s="30"/>
      <c r="C36" s="30"/>
      <c r="D36" s="30"/>
      <c r="E36" s="30"/>
      <c r="F36" s="30"/>
      <c r="G36" s="30"/>
      <c r="H36" s="30"/>
      <c r="I36" s="30"/>
      <c r="J36" s="35"/>
    </row>
    <row r="37" spans="1:10" ht="15.75" thickBot="1" x14ac:dyDescent="0.3">
      <c r="A37" s="112" t="s">
        <v>1741</v>
      </c>
      <c r="B37" s="113"/>
      <c r="C37" s="49">
        <v>4.4999999999999998E-2</v>
      </c>
      <c r="D37" s="30"/>
      <c r="E37" s="30"/>
      <c r="F37" s="30"/>
      <c r="G37" s="30"/>
      <c r="H37" s="30"/>
      <c r="I37" s="30"/>
      <c r="J37" s="35"/>
    </row>
    <row r="38" spans="1:10" x14ac:dyDescent="0.25">
      <c r="A38" s="34"/>
      <c r="B38" s="30"/>
      <c r="C38" s="30"/>
      <c r="D38" s="30"/>
      <c r="E38" s="30"/>
      <c r="F38" s="30"/>
      <c r="G38" s="30"/>
      <c r="H38" s="30"/>
      <c r="I38" s="30"/>
      <c r="J38" s="35"/>
    </row>
    <row r="39" spans="1:10" x14ac:dyDescent="0.25">
      <c r="A39" s="34" t="s">
        <v>1742</v>
      </c>
      <c r="B39" s="30"/>
      <c r="C39" s="30"/>
      <c r="D39" s="30"/>
      <c r="E39" s="30"/>
      <c r="F39" s="30"/>
      <c r="G39" s="30"/>
      <c r="H39" s="30"/>
      <c r="I39" s="30"/>
      <c r="J39" s="35"/>
    </row>
    <row r="40" spans="1:10" ht="15.75" thickBot="1" x14ac:dyDescent="0.3">
      <c r="A40" s="34"/>
      <c r="B40" s="30"/>
      <c r="C40" s="30"/>
      <c r="D40" s="30"/>
      <c r="E40" s="30"/>
      <c r="F40" s="30"/>
      <c r="G40" s="30"/>
      <c r="H40" s="30"/>
      <c r="I40" s="30"/>
      <c r="J40" s="35"/>
    </row>
    <row r="41" spans="1:10" x14ac:dyDescent="0.25">
      <c r="A41" s="34"/>
      <c r="B41" s="114" t="s">
        <v>1743</v>
      </c>
      <c r="C41" s="115"/>
      <c r="D41" s="118">
        <f>(J13*J14*J15)/J17-1</f>
        <v>0.25843329945098037</v>
      </c>
      <c r="E41" s="119"/>
      <c r="F41" s="122" t="s">
        <v>1744</v>
      </c>
      <c r="G41" s="123"/>
      <c r="H41" s="50" t="s">
        <v>1745</v>
      </c>
      <c r="I41" s="50" t="s">
        <v>1746</v>
      </c>
      <c r="J41" s="51" t="s">
        <v>1747</v>
      </c>
    </row>
    <row r="42" spans="1:10" ht="15.75" thickBot="1" x14ac:dyDescent="0.3">
      <c r="A42" s="34"/>
      <c r="B42" s="116"/>
      <c r="C42" s="117"/>
      <c r="D42" s="120"/>
      <c r="E42" s="121"/>
      <c r="F42" s="124"/>
      <c r="G42" s="125"/>
      <c r="H42" s="52">
        <v>0.24</v>
      </c>
      <c r="I42" s="52">
        <v>0.25840000000000002</v>
      </c>
      <c r="J42" s="53">
        <v>0.27860000000000001</v>
      </c>
    </row>
    <row r="43" spans="1:10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5"/>
    </row>
    <row r="44" spans="1:10" x14ac:dyDescent="0.25">
      <c r="A44" s="34" t="s">
        <v>1748</v>
      </c>
      <c r="B44" s="30"/>
      <c r="C44" s="30"/>
      <c r="D44" s="30"/>
      <c r="E44" s="30"/>
      <c r="F44" s="30"/>
      <c r="G44" s="30"/>
      <c r="H44" s="30"/>
      <c r="I44" s="30"/>
      <c r="J44" s="35"/>
    </row>
    <row r="45" spans="1:10" ht="15.75" thickBot="1" x14ac:dyDescent="0.3">
      <c r="A45" s="34"/>
      <c r="B45" s="30"/>
      <c r="C45" s="30"/>
      <c r="D45" s="30"/>
      <c r="E45" s="30"/>
      <c r="F45" s="30"/>
      <c r="G45" s="30"/>
      <c r="H45" s="30"/>
      <c r="I45" s="30"/>
      <c r="J45" s="35"/>
    </row>
    <row r="46" spans="1:10" x14ac:dyDescent="0.25">
      <c r="A46" s="34"/>
      <c r="B46" s="114" t="s">
        <v>1743</v>
      </c>
      <c r="C46" s="115"/>
      <c r="D46" s="118">
        <f>(J13*J14*J15/J16)-1</f>
        <v>0.32146000893934357</v>
      </c>
      <c r="E46" s="119"/>
      <c r="F46" s="30"/>
      <c r="G46" s="30"/>
      <c r="H46" s="30"/>
      <c r="I46" s="30"/>
      <c r="J46" s="35"/>
    </row>
    <row r="47" spans="1:10" ht="15.75" thickBot="1" x14ac:dyDescent="0.3">
      <c r="A47" s="34"/>
      <c r="B47" s="116"/>
      <c r="C47" s="117"/>
      <c r="D47" s="120"/>
      <c r="E47" s="121"/>
      <c r="F47" s="30"/>
      <c r="G47" s="30"/>
      <c r="H47" s="30"/>
      <c r="I47" s="30"/>
      <c r="J47" s="35"/>
    </row>
    <row r="48" spans="1:10" ht="15.75" thickBot="1" x14ac:dyDescent="0.3">
      <c r="A48" s="54"/>
      <c r="B48" s="44"/>
      <c r="C48" s="44"/>
      <c r="D48" s="44"/>
      <c r="E48" s="44"/>
      <c r="F48" s="44"/>
      <c r="G48" s="44"/>
      <c r="H48" s="44"/>
      <c r="I48" s="44"/>
      <c r="J48" s="45"/>
    </row>
    <row r="49" spans="1:10" ht="15.75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55" t="s">
        <v>1749</v>
      </c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5" customHeight="1" x14ac:dyDescent="0.25">
      <c r="A51" s="126" t="s">
        <v>1750</v>
      </c>
      <c r="B51" s="127"/>
      <c r="C51" s="127"/>
      <c r="D51" s="127"/>
      <c r="E51" s="127"/>
      <c r="F51" s="127"/>
      <c r="G51" s="127"/>
      <c r="H51" s="127"/>
      <c r="I51" s="127"/>
      <c r="J51" s="128"/>
    </row>
    <row r="52" spans="1:10" x14ac:dyDescent="0.25">
      <c r="A52" s="126"/>
      <c r="B52" s="127"/>
      <c r="C52" s="127"/>
      <c r="D52" s="127"/>
      <c r="E52" s="127"/>
      <c r="F52" s="127"/>
      <c r="G52" s="127"/>
      <c r="H52" s="127"/>
      <c r="I52" s="127"/>
      <c r="J52" s="128"/>
    </row>
    <row r="53" spans="1:10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0"/>
      <c r="J53" s="131"/>
    </row>
    <row r="54" spans="1:10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</row>
    <row r="56" spans="1:10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0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</row>
    <row r="59" spans="1:10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</row>
  </sheetData>
  <mergeCells count="18">
    <mergeCell ref="A8:J8"/>
    <mergeCell ref="A1:J1"/>
    <mergeCell ref="A2:J2"/>
    <mergeCell ref="A4:J4"/>
    <mergeCell ref="A5:J5"/>
    <mergeCell ref="A7:J7"/>
    <mergeCell ref="G3:J3"/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3" sqref="A23:R23"/>
    </sheetView>
  </sheetViews>
  <sheetFormatPr defaultRowHeight="15" x14ac:dyDescent="0.25"/>
  <cols>
    <col min="1" max="1" width="20" style="24" customWidth="1"/>
    <col min="8" max="8" width="27" style="27" customWidth="1"/>
    <col min="9" max="9" width="12.140625" style="24" bestFit="1" customWidth="1"/>
    <col min="11" max="11" width="16.42578125" style="27" bestFit="1" customWidth="1"/>
    <col min="12" max="12" width="8.5703125" bestFit="1" customWidth="1"/>
    <col min="14" max="14" width="16.28515625" style="27" customWidth="1"/>
    <col min="15" max="15" width="8.5703125" bestFit="1" customWidth="1"/>
    <col min="16" max="16" width="11" customWidth="1"/>
    <col min="17" max="17" width="16.85546875" style="27" bestFit="1" customWidth="1"/>
    <col min="18" max="18" width="11.85546875" customWidth="1"/>
  </cols>
  <sheetData>
    <row r="1" spans="1:18" s="69" customFormat="1" ht="23.25" customHeight="1" x14ac:dyDescent="0.25">
      <c r="A1" s="146" t="s">
        <v>1777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s="69" customFormat="1" ht="15.75" customHeight="1" x14ac:dyDescent="0.25">
      <c r="A2" s="97" t="s">
        <v>1695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69" customFormat="1" ht="23.25" customHeight="1" x14ac:dyDescent="0.25">
      <c r="A3" s="97" t="s">
        <v>1778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21" x14ac:dyDescent="0.35">
      <c r="A4" s="159" t="s">
        <v>1767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18" x14ac:dyDescent="0.25">
      <c r="A5" s="68" t="s">
        <v>1720</v>
      </c>
      <c r="B5" s="168" t="s">
        <v>1782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x14ac:dyDescent="0.25">
      <c r="A6" s="68" t="s">
        <v>1721</v>
      </c>
      <c r="B6" s="169" t="s">
        <v>1784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7" spans="1:18" ht="15.75" x14ac:dyDescent="0.25">
      <c r="A7" s="67" t="s">
        <v>1722</v>
      </c>
      <c r="B7" s="171"/>
      <c r="C7" s="172"/>
      <c r="D7" s="172"/>
      <c r="E7" s="172"/>
      <c r="F7" s="172"/>
      <c r="G7" s="173"/>
      <c r="H7" s="174" t="s">
        <v>1766</v>
      </c>
      <c r="I7" s="174"/>
      <c r="J7" s="174"/>
      <c r="K7" s="174"/>
      <c r="L7" s="174"/>
      <c r="M7" s="175">
        <f>'[1]PLAN. BDI.IMP'!D42</f>
        <v>0.25843329945098037</v>
      </c>
      <c r="N7" s="176"/>
      <c r="O7" s="177"/>
      <c r="P7" s="147">
        <v>44361</v>
      </c>
      <c r="Q7" s="148"/>
      <c r="R7" s="148"/>
    </row>
    <row r="8" spans="1:18" x14ac:dyDescent="0.25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5"/>
    </row>
    <row r="9" spans="1:18" x14ac:dyDescent="0.25">
      <c r="A9" s="158" t="s">
        <v>1700</v>
      </c>
      <c r="B9" s="156" t="s">
        <v>1765</v>
      </c>
      <c r="C9" s="156"/>
      <c r="D9" s="156"/>
      <c r="E9" s="156"/>
      <c r="F9" s="156"/>
      <c r="G9" s="156"/>
      <c r="H9" s="157" t="s">
        <v>1764</v>
      </c>
      <c r="I9" s="158" t="s">
        <v>1763</v>
      </c>
      <c r="J9" s="148" t="s">
        <v>1762</v>
      </c>
      <c r="K9" s="148"/>
      <c r="L9" s="148"/>
      <c r="M9" s="148"/>
      <c r="N9" s="148"/>
      <c r="O9" s="148"/>
      <c r="P9" s="148"/>
      <c r="Q9" s="148"/>
      <c r="R9" s="148"/>
    </row>
    <row r="10" spans="1:18" x14ac:dyDescent="0.25">
      <c r="A10" s="158"/>
      <c r="B10" s="156"/>
      <c r="C10" s="156"/>
      <c r="D10" s="156"/>
      <c r="E10" s="156"/>
      <c r="F10" s="156"/>
      <c r="G10" s="156"/>
      <c r="H10" s="157"/>
      <c r="I10" s="158"/>
      <c r="J10" s="148" t="s">
        <v>1761</v>
      </c>
      <c r="K10" s="148"/>
      <c r="L10" s="148"/>
      <c r="M10" s="148" t="s">
        <v>1760</v>
      </c>
      <c r="N10" s="148"/>
      <c r="O10" s="148"/>
      <c r="P10" s="148" t="s">
        <v>1759</v>
      </c>
      <c r="Q10" s="148"/>
      <c r="R10" s="148"/>
    </row>
    <row r="11" spans="1:18" x14ac:dyDescent="0.25">
      <c r="A11" s="158"/>
      <c r="B11" s="156"/>
      <c r="C11" s="156"/>
      <c r="D11" s="156"/>
      <c r="E11" s="156"/>
      <c r="F11" s="156"/>
      <c r="G11" s="156"/>
      <c r="H11" s="157"/>
      <c r="I11" s="158"/>
      <c r="J11" s="10" t="s">
        <v>1758</v>
      </c>
      <c r="K11" s="59" t="s">
        <v>1757</v>
      </c>
      <c r="L11" s="66" t="s">
        <v>1756</v>
      </c>
      <c r="M11" s="10" t="s">
        <v>1758</v>
      </c>
      <c r="N11" s="59" t="s">
        <v>1757</v>
      </c>
      <c r="O11" s="66" t="s">
        <v>1756</v>
      </c>
      <c r="P11" s="10" t="s">
        <v>1758</v>
      </c>
      <c r="Q11" s="59" t="s">
        <v>1757</v>
      </c>
      <c r="R11" s="66" t="s">
        <v>1756</v>
      </c>
    </row>
    <row r="12" spans="1:18" ht="33.75" customHeight="1" x14ac:dyDescent="0.25">
      <c r="A12" s="10">
        <v>1</v>
      </c>
      <c r="B12" s="162" t="str">
        <f>B6</f>
        <v>RUA AIMORÉS – BAIRRO ALVORADA</v>
      </c>
      <c r="C12" s="163"/>
      <c r="D12" s="163"/>
      <c r="E12" s="163"/>
      <c r="F12" s="163"/>
      <c r="G12" s="164"/>
      <c r="H12" s="14"/>
      <c r="I12" s="10"/>
      <c r="J12" s="65"/>
      <c r="K12" s="14"/>
      <c r="L12" s="64"/>
      <c r="M12" s="65"/>
      <c r="N12" s="14"/>
      <c r="O12" s="64"/>
      <c r="P12" s="65"/>
      <c r="Q12" s="14"/>
      <c r="R12" s="64"/>
    </row>
    <row r="13" spans="1:18" ht="15" customHeight="1" x14ac:dyDescent="0.25">
      <c r="A13" s="10" t="s">
        <v>1755</v>
      </c>
      <c r="B13" s="165" t="s">
        <v>1753</v>
      </c>
      <c r="C13" s="166"/>
      <c r="D13" s="166"/>
      <c r="E13" s="166"/>
      <c r="F13" s="166"/>
      <c r="G13" s="167"/>
      <c r="H13" s="14">
        <f>t1_</f>
        <v>4137.41</v>
      </c>
      <c r="I13" s="60">
        <f>H13/$H$16</f>
        <v>0.52388127547447905</v>
      </c>
      <c r="J13" s="60">
        <v>0.15</v>
      </c>
      <c r="K13" s="59">
        <f>J13*H13</f>
        <v>620.61149999999998</v>
      </c>
      <c r="L13" s="58">
        <f>J13</f>
        <v>0.15</v>
      </c>
      <c r="M13" s="60">
        <v>0.35</v>
      </c>
      <c r="N13" s="59">
        <f>M13*H13</f>
        <v>1448.0934999999999</v>
      </c>
      <c r="O13" s="58">
        <f>L13+M13</f>
        <v>0.5</v>
      </c>
      <c r="P13" s="60">
        <v>0.5</v>
      </c>
      <c r="Q13" s="59">
        <f>P13*H13</f>
        <v>2068.7049999999999</v>
      </c>
      <c r="R13" s="58">
        <f>O13+P13</f>
        <v>1</v>
      </c>
    </row>
    <row r="14" spans="1:18" ht="15" customHeight="1" x14ac:dyDescent="0.25">
      <c r="A14" s="10" t="s">
        <v>1754</v>
      </c>
      <c r="B14" s="165" t="s">
        <v>1752</v>
      </c>
      <c r="C14" s="166"/>
      <c r="D14" s="166"/>
      <c r="E14" s="166"/>
      <c r="F14" s="166"/>
      <c r="G14" s="167"/>
      <c r="H14" s="14">
        <f>t2_</f>
        <v>3760.2</v>
      </c>
      <c r="I14" s="60">
        <f>H14/$H$16</f>
        <v>0.47611872452552101</v>
      </c>
      <c r="J14" s="60">
        <v>0.15</v>
      </c>
      <c r="K14" s="59">
        <f>J14*H14</f>
        <v>564.03</v>
      </c>
      <c r="L14" s="58">
        <f>J14</f>
        <v>0.15</v>
      </c>
      <c r="M14" s="60">
        <v>0.35</v>
      </c>
      <c r="N14" s="59">
        <f>M14*H14</f>
        <v>1316.07</v>
      </c>
      <c r="O14" s="58">
        <f>L14+M14</f>
        <v>0.5</v>
      </c>
      <c r="P14" s="60">
        <v>0.5</v>
      </c>
      <c r="Q14" s="59">
        <f>P14*H14</f>
        <v>1880.1</v>
      </c>
      <c r="R14" s="58">
        <f>O14+P14</f>
        <v>1</v>
      </c>
    </row>
    <row r="15" spans="1:18" x14ac:dyDescent="0.25">
      <c r="A15" s="63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1"/>
    </row>
    <row r="16" spans="1:18" x14ac:dyDescent="0.25">
      <c r="A16" s="10"/>
      <c r="B16" s="150" t="s">
        <v>1751</v>
      </c>
      <c r="C16" s="151"/>
      <c r="D16" s="151"/>
      <c r="E16" s="151"/>
      <c r="F16" s="151"/>
      <c r="G16" s="152"/>
      <c r="H16" s="14">
        <f>SUM(H13,H14)</f>
        <v>7897.61</v>
      </c>
      <c r="I16" s="60">
        <f>H16/$H$16</f>
        <v>1</v>
      </c>
      <c r="J16" s="60">
        <v>0.15</v>
      </c>
      <c r="K16" s="59">
        <f>J16*H16</f>
        <v>1184.6415</v>
      </c>
      <c r="L16" s="58">
        <f>J16</f>
        <v>0.15</v>
      </c>
      <c r="M16" s="60">
        <v>0.35</v>
      </c>
      <c r="N16" s="59">
        <f>M16*H16</f>
        <v>2764.1634999999997</v>
      </c>
      <c r="O16" s="58">
        <f>L16+M16</f>
        <v>0.5</v>
      </c>
      <c r="P16" s="60">
        <v>0.5</v>
      </c>
      <c r="Q16" s="59">
        <f>P16*H16</f>
        <v>3948.8049999999998</v>
      </c>
      <c r="R16" s="58">
        <f>O16+P16</f>
        <v>1</v>
      </c>
    </row>
    <row r="17" spans="1:18" x14ac:dyDescent="0.25">
      <c r="L17" s="57"/>
    </row>
    <row r="18" spans="1:18" x14ac:dyDescent="0.25">
      <c r="B18" s="149"/>
      <c r="C18" s="149"/>
      <c r="D18" s="149"/>
      <c r="E18" s="149"/>
      <c r="F18" s="149"/>
      <c r="G18" s="149"/>
      <c r="H18" s="149"/>
    </row>
    <row r="20" spans="1:18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25">
      <c r="B21" s="24"/>
      <c r="C21" s="24"/>
      <c r="D21" s="24"/>
      <c r="E21" s="24"/>
      <c r="F21" s="24"/>
      <c r="G21" s="24"/>
      <c r="H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75"/>
      <c r="B22" s="75"/>
      <c r="C22" s="75"/>
      <c r="D22" s="75"/>
      <c r="E22" s="75"/>
      <c r="F22" s="75"/>
      <c r="G22" s="75"/>
      <c r="I22"/>
    </row>
    <row r="23" spans="1:18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</sheetData>
  <mergeCells count="29">
    <mergeCell ref="B5:R5"/>
    <mergeCell ref="B6:R6"/>
    <mergeCell ref="B7:G7"/>
    <mergeCell ref="H7:L7"/>
    <mergeCell ref="M7:O7"/>
    <mergeCell ref="A25:R25"/>
    <mergeCell ref="B12:G12"/>
    <mergeCell ref="A22:G22"/>
    <mergeCell ref="A20:R20"/>
    <mergeCell ref="A23:R23"/>
    <mergeCell ref="A24:R24"/>
    <mergeCell ref="B13:G13"/>
    <mergeCell ref="B14:G14"/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6</vt:lpstr>
      <vt:lpstr>BDI</vt:lpstr>
      <vt:lpstr>CRONOGRAMA</vt:lpstr>
      <vt:lpstr>CRONOGRAMA!Area_de_impressao</vt:lpstr>
      <vt:lpstr>'ITEM 6'!Area_de_impressao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2021-06-26T02:00:35Z</dcterms:modified>
</cp:coreProperties>
</file>